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3075" windowHeight="1110" tabRatio="903" activeTab="3"/>
  </bookViews>
  <sheets>
    <sheet name="Prêt et retrocession" sheetId="1" r:id="rId1"/>
    <sheet name="RAR" sheetId="2" r:id="rId2"/>
    <sheet name="participation" sheetId="3" r:id="rId3"/>
    <sheet name="part 2" sheetId="4" r:id="rId4"/>
  </sheets>
  <externalReferences>
    <externalReference r:id="rId7"/>
  </externalReferences>
  <definedNames>
    <definedName name="_xlnm.Print_Titles" localSheetId="2">'participation'!$1:$7</definedName>
    <definedName name="_xlnm.Print_Titles" localSheetId="0">'Prêt et retrocession'!$2:$5</definedName>
    <definedName name="_xlnm.Print_Area" localSheetId="3">'part 2'!$A$8:$D$26</definedName>
    <definedName name="_xlnm.Print_Area" localSheetId="2">'participation'!$A$1:$F$204</definedName>
    <definedName name="_xlnm.Print_Area" localSheetId="0">'Prêt et retrocession'!$A$1:$N$45</definedName>
    <definedName name="_xlnm.Print_Area" localSheetId="1">'RAR'!$A$1:$H$24</definedName>
  </definedNames>
  <calcPr fullCalcOnLoad="1" fullPrecision="0"/>
</workbook>
</file>

<file path=xl/sharedStrings.xml><?xml version="1.0" encoding="utf-8"?>
<sst xmlns="http://schemas.openxmlformats.org/spreadsheetml/2006/main" count="329" uniqueCount="214">
  <si>
    <t>Compte</t>
  </si>
  <si>
    <t>Date de convention</t>
  </si>
  <si>
    <t>BAD</t>
  </si>
  <si>
    <t>USD</t>
  </si>
  <si>
    <t>FAD</t>
  </si>
  <si>
    <t>JPY</t>
  </si>
  <si>
    <t>AFD</t>
  </si>
  <si>
    <t>SDR</t>
  </si>
  <si>
    <t>IDA</t>
  </si>
  <si>
    <t>KOWEIT</t>
  </si>
  <si>
    <t>N°</t>
  </si>
  <si>
    <t>ENTREPRISES</t>
  </si>
  <si>
    <t>STATUTS</t>
  </si>
  <si>
    <t>CAPITAL SOCIAL</t>
  </si>
  <si>
    <t>PART ETAT</t>
  </si>
  <si>
    <t>%</t>
  </si>
  <si>
    <t>Valeur</t>
  </si>
  <si>
    <t xml:space="preserve">         a)- agriculture -pêche - elevage</t>
  </si>
  <si>
    <t xml:space="preserve">              ----------------------------------------</t>
  </si>
  <si>
    <t>- Fikambanana Fampandrosoana ny Lemak'i Betsiboka</t>
  </si>
  <si>
    <t xml:space="preserve">  (FIFABE)</t>
  </si>
  <si>
    <t>S.A</t>
  </si>
  <si>
    <r>
      <t xml:space="preserve"> </t>
    </r>
    <r>
      <rPr>
        <i/>
        <sz val="10"/>
        <rFont val="Arial"/>
        <family val="2"/>
      </rPr>
      <t>Aménagement  de la plaine de Betsiboka</t>
    </r>
  </si>
  <si>
    <t>- Malts et Orges de Madagascar  (MALTO)</t>
  </si>
  <si>
    <r>
      <t xml:space="preserve">  </t>
    </r>
    <r>
      <rPr>
        <i/>
        <sz val="10"/>
        <rFont val="Arial"/>
        <family val="2"/>
      </rPr>
      <t>Culture d'orge</t>
    </r>
  </si>
  <si>
    <t>- Les Pêcheries de Nossi - Be  (PNB)</t>
  </si>
  <si>
    <r>
      <t xml:space="preserve">  </t>
    </r>
    <r>
      <rPr>
        <i/>
        <sz val="10"/>
        <rFont val="Arial"/>
        <family val="2"/>
      </rPr>
      <t>Pêche en haute mer et aquaculture</t>
    </r>
  </si>
  <si>
    <t>- Société Théicole de Madagascar   (SOTHEMAD)</t>
  </si>
  <si>
    <r>
      <t xml:space="preserve">   </t>
    </r>
    <r>
      <rPr>
        <i/>
        <sz val="10"/>
        <rFont val="Arial"/>
        <family val="2"/>
      </rPr>
      <t>Plantation de thé</t>
    </r>
  </si>
  <si>
    <t>- Hasy Malagasy  (HASYMA)</t>
  </si>
  <si>
    <t xml:space="preserve"> Culture de coton</t>
  </si>
  <si>
    <t>- Société Malgache de Pêcherie  (SOMAPECHE)</t>
  </si>
  <si>
    <t xml:space="preserve">         b)- Industries</t>
  </si>
  <si>
    <t xml:space="preserve">             -----------------</t>
  </si>
  <si>
    <t xml:space="preserve">              * Agro - alimentaire</t>
  </si>
  <si>
    <t>- Société STAR</t>
  </si>
  <si>
    <t xml:space="preserve">  Boissons gazeuses et hygiéniques</t>
  </si>
  <si>
    <t xml:space="preserve">             * Sucrerie</t>
  </si>
  <si>
    <t>- Société Siramamy Malalgasy  (SIRAMA)</t>
  </si>
  <si>
    <t xml:space="preserve">  Plantation et transformation de canne à sucre</t>
  </si>
  <si>
    <t>- Société Siramamin'Analaiva  (SIRANALA)</t>
  </si>
  <si>
    <t xml:space="preserve">             * extraction d'huiles végétales</t>
  </si>
  <si>
    <t>- Société Sambava Voanio  (SOAVOANIO)</t>
  </si>
  <si>
    <t xml:space="preserve"> Plantation et transformation de coco</t>
  </si>
  <si>
    <t xml:space="preserve">             * Textile</t>
  </si>
  <si>
    <t>COTONA REAL ESTATE (CRE)</t>
  </si>
  <si>
    <t xml:space="preserve">             * Bois</t>
  </si>
  <si>
    <t>- Fanjarian'Ala Ambatondrazaka Moramanga</t>
  </si>
  <si>
    <t xml:space="preserve">  (FANALAMANGA)</t>
  </si>
  <si>
    <t>S.E.M</t>
  </si>
  <si>
    <t xml:space="preserve">  Plantation et usinage</t>
  </si>
  <si>
    <t xml:space="preserve">             * machinisme agricole</t>
  </si>
  <si>
    <t>- Société pour le Développement du Machinisme Agricole</t>
  </si>
  <si>
    <t xml:space="preserve">   (SIDEMA)</t>
  </si>
  <si>
    <t xml:space="preserve">              * Verrerie</t>
  </si>
  <si>
    <t>- Orin'Asa Fanaovana Fanafody  (OFAFA)</t>
  </si>
  <si>
    <t xml:space="preserve">             * Navale</t>
  </si>
  <si>
    <t>- Société d'Etude, de Construction, de Reparation Navale</t>
  </si>
  <si>
    <t xml:space="preserve">  (SECREN)</t>
  </si>
  <si>
    <t xml:space="preserve">         c)- Energie</t>
  </si>
  <si>
    <t xml:space="preserve">             -------------</t>
  </si>
  <si>
    <t xml:space="preserve">             * Production et distribution d'électricité et d'eau</t>
  </si>
  <si>
    <t>- Jiro sy Rano Malagasy   (JIRAMA)</t>
  </si>
  <si>
    <t>S.A.E</t>
  </si>
  <si>
    <t xml:space="preserve">             * Raffinage et distribution de produits petroliers</t>
  </si>
  <si>
    <t>Galana Raffinerie Terminal</t>
  </si>
  <si>
    <t>JOVENNA</t>
  </si>
  <si>
    <t>LOGISTIQUE PETROLIERE</t>
  </si>
  <si>
    <t>TOTAL MADAGASCAR SA</t>
  </si>
  <si>
    <t>VIVO</t>
  </si>
  <si>
    <t xml:space="preserve">         d)- Mine et forage</t>
  </si>
  <si>
    <t xml:space="preserve">             ----------------------</t>
  </si>
  <si>
    <t>- Kraomita Malagasy  (KRAOMA)</t>
  </si>
  <si>
    <t xml:space="preserve"> Extraction de chrome</t>
  </si>
  <si>
    <t>- Société Marbre et Granit de Madagascar (MAGRAMA)</t>
  </si>
  <si>
    <t xml:space="preserve"> Extraction de marbre et granit</t>
  </si>
  <si>
    <t xml:space="preserve">         e)- Transports</t>
  </si>
  <si>
    <t xml:space="preserve">             --------------</t>
  </si>
  <si>
    <t xml:space="preserve">             * Aérien</t>
  </si>
  <si>
    <t>Société nationale des transports aériens "Air Madagascar"</t>
  </si>
  <si>
    <t xml:space="preserve">             * Infrastructure aérienne</t>
  </si>
  <si>
    <t>- Aéroport de Madagascar (ADEMA)</t>
  </si>
  <si>
    <t xml:space="preserve"> Gestion de 12 aérogares</t>
  </si>
  <si>
    <t xml:space="preserve">             * Infrastructure portuaire</t>
  </si>
  <si>
    <t>Société de Manutention de Marchandise Conventionnelles</t>
  </si>
  <si>
    <t>- Société (SPAT)</t>
  </si>
  <si>
    <t>SA</t>
  </si>
  <si>
    <t xml:space="preserve">             * ferroviaire</t>
  </si>
  <si>
    <t>Madarail</t>
  </si>
  <si>
    <t xml:space="preserve">         f)- Communication</t>
  </si>
  <si>
    <t xml:space="preserve">               -------------------</t>
  </si>
  <si>
    <t>- Société Anonyme Telecom Malagasy  (TELMA S.A)</t>
  </si>
  <si>
    <t xml:space="preserve"> Téléphone</t>
  </si>
  <si>
    <t>- CINEMEDIA</t>
  </si>
  <si>
    <r>
      <t xml:space="preserve"> </t>
    </r>
    <r>
      <rPr>
        <i/>
        <sz val="10"/>
        <rFont val="Arial"/>
        <family val="2"/>
      </rPr>
      <t>Distribution de films cinematographiques</t>
    </r>
  </si>
  <si>
    <t xml:space="preserve">        g)- Tourisme</t>
  </si>
  <si>
    <t xml:space="preserve">             ---------------</t>
  </si>
  <si>
    <t xml:space="preserve">             * Agence de voyage</t>
  </si>
  <si>
    <t>- Madagascar Airtours  (MAT)</t>
  </si>
  <si>
    <t xml:space="preserve">             * Hôtellerie</t>
  </si>
  <si>
    <t>- Société Malgache d'Hotellerie   (SMH)</t>
  </si>
  <si>
    <r>
      <t xml:space="preserve">  </t>
    </r>
    <r>
      <rPr>
        <i/>
        <sz val="10"/>
        <rFont val="Arial"/>
        <family val="2"/>
      </rPr>
      <t>Société de patrimoine de l'hôtel Madagascar Hilton</t>
    </r>
  </si>
  <si>
    <t>- Société d'Etudes  Immobilières et d' Exploitation  Hôtellière -</t>
  </si>
  <si>
    <t xml:space="preserve">  "ZAHA MOTEL"  (SEIXEHO-ZAHAMOTEL)</t>
  </si>
  <si>
    <t xml:space="preserve">  Propriétaire des chaines hôtellières ZAHA</t>
  </si>
  <si>
    <t>NTD</t>
  </si>
  <si>
    <t xml:space="preserve">         h)- Travaux publics</t>
  </si>
  <si>
    <t xml:space="preserve">             -------------------------</t>
  </si>
  <si>
    <t>- Société Sino - Malgache des Travaux Publics (SMATP)</t>
  </si>
  <si>
    <t>S.A.R.L</t>
  </si>
  <si>
    <t>- Laboratoire national des Travaux Publics et des Bâtiments</t>
  </si>
  <si>
    <t>E.S</t>
  </si>
  <si>
    <r>
      <t xml:space="preserve">   </t>
    </r>
    <r>
      <rPr>
        <sz val="10"/>
        <rFont val="Arial"/>
        <family val="2"/>
      </rPr>
      <t>(LNTPB)</t>
    </r>
  </si>
  <si>
    <t xml:space="preserve">        i)- Logement</t>
  </si>
  <si>
    <t xml:space="preserve">               -------------</t>
  </si>
  <si>
    <t>- Société d'Equipement Immobilier de Madagascar</t>
  </si>
  <si>
    <t xml:space="preserve">  (SEIMAD)</t>
  </si>
  <si>
    <t xml:space="preserve">        j)- Participation financière et établissement financier</t>
  </si>
  <si>
    <t xml:space="preserve">              --------------------------------</t>
  </si>
  <si>
    <t>- Société Nationale de Participation  (SONAPAR)</t>
  </si>
  <si>
    <t>-Fonds de Garantie Malgache</t>
  </si>
  <si>
    <t>Banque Centrale de Madagascar</t>
  </si>
  <si>
    <t>Bank Of Africa (BOA)</t>
  </si>
  <si>
    <t>CEM</t>
  </si>
  <si>
    <t>BNI</t>
  </si>
  <si>
    <t>BFV</t>
  </si>
  <si>
    <t>ARO</t>
  </si>
  <si>
    <t>Ny Havana</t>
  </si>
  <si>
    <t xml:space="preserve">      k)- Autres</t>
  </si>
  <si>
    <t xml:space="preserve">          -----------</t>
  </si>
  <si>
    <t>Gasynet</t>
  </si>
  <si>
    <t xml:space="preserve">Institut Médical de Madagascar (IMM): </t>
  </si>
  <si>
    <t>SMPA</t>
  </si>
  <si>
    <t>SGR</t>
  </si>
  <si>
    <t>FPP</t>
  </si>
  <si>
    <t>SOFIRE</t>
  </si>
  <si>
    <t>TOTAL</t>
  </si>
  <si>
    <t>Comptabilité</t>
  </si>
  <si>
    <t>Total</t>
  </si>
  <si>
    <t>ORGANISMES</t>
  </si>
  <si>
    <t>FMI</t>
  </si>
  <si>
    <t>DTS</t>
  </si>
  <si>
    <t>BIRD</t>
  </si>
  <si>
    <t>AFRICA RE</t>
  </si>
  <si>
    <t>Ligne</t>
  </si>
  <si>
    <t>Bénéficiaire</t>
  </si>
  <si>
    <t>Monnaie</t>
  </si>
  <si>
    <t>Octroi</t>
  </si>
  <si>
    <t xml:space="preserve">Amortissement de l'exercice </t>
  </si>
  <si>
    <t>Régularisation comptable</t>
  </si>
  <si>
    <t>Capital à amortir au 31/12/2015</t>
  </si>
  <si>
    <t>Date dernière échéance</t>
  </si>
  <si>
    <t>FIV ANT REN</t>
  </si>
  <si>
    <t>TRESOR</t>
  </si>
  <si>
    <t>ARIARY</t>
  </si>
  <si>
    <t>SIRAMA</t>
  </si>
  <si>
    <t>FTM</t>
  </si>
  <si>
    <t>ADEMA</t>
  </si>
  <si>
    <t>FRF</t>
  </si>
  <si>
    <t>SEBAK</t>
  </si>
  <si>
    <t>KFW</t>
  </si>
  <si>
    <t>DEM</t>
  </si>
  <si>
    <t>MAGRAMA</t>
  </si>
  <si>
    <t>Italie</t>
  </si>
  <si>
    <t>CECAM</t>
  </si>
  <si>
    <t>BEI/FED</t>
  </si>
  <si>
    <t>VOLAMAHASOA</t>
  </si>
  <si>
    <t>CIDR</t>
  </si>
  <si>
    <t>SEIMAD</t>
  </si>
  <si>
    <t>JIRAMA</t>
  </si>
  <si>
    <t>OECF/JAPON</t>
  </si>
  <si>
    <t>2001</t>
  </si>
  <si>
    <t>ACDI/Canada</t>
  </si>
  <si>
    <t>CAD</t>
  </si>
  <si>
    <t>quoi?</t>
  </si>
  <si>
    <t>DKK</t>
  </si>
  <si>
    <t>FONDS SAOUDIEN</t>
  </si>
  <si>
    <t>CCCE</t>
  </si>
  <si>
    <t>BADEA</t>
  </si>
  <si>
    <t>OPEC</t>
  </si>
  <si>
    <t>SOCIETE</t>
  </si>
  <si>
    <t>Recouvrement effectué</t>
  </si>
  <si>
    <t>Reste à recouvrer au 31/12/2015</t>
  </si>
  <si>
    <t>FIV ANTA RENIVOHITRA</t>
  </si>
  <si>
    <t>Total prêts</t>
  </si>
  <si>
    <t>FANALAMANGA</t>
  </si>
  <si>
    <t>CIDR VOLAMAHASOA</t>
  </si>
  <si>
    <t>Total reprêts</t>
  </si>
  <si>
    <t xml:space="preserve">VII - DEVELOPPEMENT DES PARTICIPATIONS FINANCIERES DE L'ETAT-EXERCICE 2016 </t>
  </si>
  <si>
    <t>SON INVEST</t>
  </si>
  <si>
    <t>AFRICA 50</t>
  </si>
  <si>
    <t>Capital à amortir au 31/12/2016</t>
  </si>
  <si>
    <t>OR émis au titre de l'exercice 2016</t>
  </si>
  <si>
    <t>Reste à recouvrer au 31/12/2016</t>
  </si>
  <si>
    <t>6.2. Situation des recouvrements et des restes à recouvrer</t>
  </si>
  <si>
    <t>7.1. Entreprises Nationales</t>
  </si>
  <si>
    <t>- GALANA Distribution pétrolière</t>
  </si>
  <si>
    <t>7.2. Organismes internationaux</t>
  </si>
  <si>
    <t>VII - DEVELOPPEMENT DES PARTICIPATIONS FINANCIERES DE L'ETAT-EXERCICE 2016</t>
  </si>
  <si>
    <t>DEVISE</t>
  </si>
  <si>
    <t>CONTREVALEUR EN Ariary au 31/12/15</t>
  </si>
  <si>
    <t>CONTREVALEUR EN Ariary au 31/12/16</t>
  </si>
  <si>
    <t>Augmentation 2016</t>
  </si>
  <si>
    <t>Somme</t>
  </si>
  <si>
    <t>Ecart</t>
  </si>
  <si>
    <t>TOTAL 2731</t>
  </si>
  <si>
    <t>TOTAL 2732</t>
  </si>
  <si>
    <t>Bailleurs</t>
  </si>
  <si>
    <t>VI- DEVELOPPEMENT DES COMPTES DE PRETS</t>
  </si>
  <si>
    <t>6.1. Amortissement en capital</t>
  </si>
  <si>
    <t>BEI</t>
  </si>
  <si>
    <t>Prêts</t>
  </si>
  <si>
    <t>Reprêts</t>
  </si>
  <si>
    <t>Octroi de l'exercice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</si>
</sst>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000"/>
    <numFmt numFmtId="166" formatCode="_([$€]* #,##0.00_);_([$€]* \(#,##0.00\);_([$€]* &quot;-&quot;??_);_(@_)"/>
    <numFmt numFmtId="167" formatCode="#,##0\ &quot;F&quot;;\-#,##0\ &quot;F&quot;"/>
    <numFmt numFmtId="168" formatCode="_(* #,##0.00_);_(* \(#,##0.00\);_(* &quot;-&quot;??_);_(@_)"/>
    <numFmt numFmtId="169" formatCode="_-* #,##0\ _F_-;\-* #,##0\ _F_-;_-* &quot;-&quot;??\ _F_-;_-@_-"/>
    <numFmt numFmtId="170" formatCode="_-* #,##0.0\ _€_-;\-* #,##0.0\ _€_-;_-* &quot;-&quot;??\ _€_-;_-@_-"/>
    <numFmt numFmtId="171" formatCode="_(* #,##0_);_(* \(#,##0\);_(* &quot;-&quot;_);_(@_)"/>
    <numFmt numFmtId="172" formatCode="dd/mm/yy"/>
    <numFmt numFmtId="173" formatCode="#&quot; &quot;###&quot; &quot;###&quot; &quot;###&quot; &quot;###&quot; &quot;##0.00"/>
  </numFmts>
  <fonts count="64"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20"/>
      <name val="Haettenschweiler"/>
      <family val="2"/>
    </font>
    <font>
      <b/>
      <sz val="10"/>
      <name val="MS Sans Serif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u val="single"/>
      <sz val="13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u val="single"/>
      <sz val="14"/>
      <name val="MS Sans Serif"/>
      <family val="2"/>
    </font>
    <font>
      <sz val="14"/>
      <name val="MS Sans Serif"/>
      <family val="2"/>
    </font>
    <font>
      <i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/>
      <right style="thin"/>
      <top/>
      <bottom/>
    </border>
    <border>
      <left style="thin"/>
      <right/>
      <top style="thin"/>
      <bottom style="thin"/>
    </border>
  </borders>
  <cellStyleXfs count="1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166" fontId="6" fillId="0" borderId="0" applyFont="0" applyFill="0" applyBorder="0" applyAlignment="0" applyProtection="0"/>
    <xf numFmtId="0" fontId="51" fillId="29" borderId="0" applyNumberFormat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266">
    <xf numFmtId="0" fontId="0" fillId="0" borderId="0" xfId="0" applyAlignment="1">
      <alignment/>
    </xf>
    <xf numFmtId="1" fontId="5" fillId="0" borderId="0" xfId="148" applyNumberFormat="1" applyFill="1" applyAlignment="1">
      <alignment horizontal="center"/>
      <protection/>
    </xf>
    <xf numFmtId="0" fontId="8" fillId="0" borderId="0" xfId="148" applyFont="1" applyFill="1">
      <alignment/>
      <protection/>
    </xf>
    <xf numFmtId="0" fontId="5" fillId="0" borderId="0" xfId="148" applyFill="1">
      <alignment/>
      <protection/>
    </xf>
    <xf numFmtId="3" fontId="5" fillId="0" borderId="0" xfId="148" applyNumberFormat="1" applyFill="1">
      <alignment/>
      <protection/>
    </xf>
    <xf numFmtId="2" fontId="5" fillId="0" borderId="0" xfId="148" applyNumberFormat="1" applyFill="1">
      <alignment/>
      <protection/>
    </xf>
    <xf numFmtId="1" fontId="5" fillId="0" borderId="0" xfId="148" applyNumberFormat="1" applyFill="1" applyBorder="1" applyAlignment="1">
      <alignment horizontal="center"/>
      <protection/>
    </xf>
    <xf numFmtId="0" fontId="5" fillId="0" borderId="0" xfId="148" applyFill="1" applyBorder="1">
      <alignment/>
      <protection/>
    </xf>
    <xf numFmtId="3" fontId="5" fillId="0" borderId="0" xfId="148" applyNumberFormat="1" applyFill="1" applyBorder="1">
      <alignment/>
      <protection/>
    </xf>
    <xf numFmtId="2" fontId="5" fillId="0" borderId="0" xfId="148" applyNumberFormat="1" applyFill="1" applyBorder="1">
      <alignment/>
      <protection/>
    </xf>
    <xf numFmtId="2" fontId="7" fillId="0" borderId="10" xfId="148" applyNumberFormat="1" applyFont="1" applyFill="1" applyBorder="1" applyAlignment="1">
      <alignment horizontal="centerContinuous"/>
      <protection/>
    </xf>
    <xf numFmtId="3" fontId="7" fillId="0" borderId="10" xfId="148" applyNumberFormat="1" applyFont="1" applyFill="1" applyBorder="1" applyAlignment="1">
      <alignment horizontal="centerContinuous"/>
      <protection/>
    </xf>
    <xf numFmtId="2" fontId="7" fillId="0" borderId="10" xfId="148" applyNumberFormat="1" applyFont="1" applyFill="1" applyBorder="1" applyAlignment="1">
      <alignment horizontal="center"/>
      <protection/>
    </xf>
    <xf numFmtId="1" fontId="5" fillId="0" borderId="11" xfId="92" applyNumberFormat="1" applyFill="1" applyBorder="1" applyAlignment="1">
      <alignment horizontal="center"/>
    </xf>
    <xf numFmtId="0" fontId="5" fillId="0" borderId="11" xfId="148" applyFill="1" applyBorder="1">
      <alignment/>
      <protection/>
    </xf>
    <xf numFmtId="3" fontId="5" fillId="0" borderId="12" xfId="92" applyNumberFormat="1" applyFill="1" applyBorder="1" applyAlignment="1">
      <alignment/>
    </xf>
    <xf numFmtId="2" fontId="5" fillId="0" borderId="11" xfId="92" applyNumberFormat="1" applyFill="1" applyBorder="1" applyAlignment="1">
      <alignment/>
    </xf>
    <xf numFmtId="3" fontId="5" fillId="0" borderId="11" xfId="92" applyNumberFormat="1" applyFill="1" applyBorder="1" applyAlignment="1">
      <alignment/>
    </xf>
    <xf numFmtId="1" fontId="5" fillId="0" borderId="12" xfId="92" applyNumberFormat="1" applyFill="1" applyBorder="1" applyAlignment="1">
      <alignment horizontal="center"/>
    </xf>
    <xf numFmtId="0" fontId="7" fillId="0" borderId="12" xfId="148" applyFont="1" applyFill="1" applyBorder="1">
      <alignment/>
      <protection/>
    </xf>
    <xf numFmtId="0" fontId="5" fillId="0" borderId="12" xfId="148" applyFill="1" applyBorder="1">
      <alignment/>
      <protection/>
    </xf>
    <xf numFmtId="2" fontId="5" fillId="0" borderId="12" xfId="92" applyNumberFormat="1" applyFill="1" applyBorder="1" applyAlignment="1">
      <alignment/>
    </xf>
    <xf numFmtId="0" fontId="5" fillId="0" borderId="12" xfId="148" applyFill="1" applyBorder="1" quotePrefix="1">
      <alignment/>
      <protection/>
    </xf>
    <xf numFmtId="0" fontId="5" fillId="0" borderId="12" xfId="148" applyFont="1" applyFill="1" applyBorder="1">
      <alignment/>
      <protection/>
    </xf>
    <xf numFmtId="0" fontId="5" fillId="0" borderId="12" xfId="148" applyFill="1" applyBorder="1" applyAlignment="1">
      <alignment horizontal="centerContinuous"/>
      <protection/>
    </xf>
    <xf numFmtId="43" fontId="5" fillId="0" borderId="12" xfId="91" applyFont="1" applyFill="1" applyBorder="1" applyAlignment="1">
      <alignment/>
    </xf>
    <xf numFmtId="0" fontId="5" fillId="0" borderId="12" xfId="148" applyFont="1" applyFill="1" applyBorder="1" quotePrefix="1">
      <alignment/>
      <protection/>
    </xf>
    <xf numFmtId="0" fontId="2" fillId="0" borderId="0" xfId="148" applyFont="1" applyFill="1" applyBorder="1">
      <alignment/>
      <protection/>
    </xf>
    <xf numFmtId="1" fontId="5" fillId="0" borderId="12" xfId="92" applyNumberFormat="1" applyFont="1" applyFill="1" applyBorder="1" applyAlignment="1">
      <alignment horizontal="center"/>
    </xf>
    <xf numFmtId="0" fontId="10" fillId="0" borderId="12" xfId="148" applyFont="1" applyFill="1" applyBorder="1">
      <alignment/>
      <protection/>
    </xf>
    <xf numFmtId="0" fontId="5" fillId="0" borderId="0" xfId="148" applyFont="1" applyFill="1">
      <alignment/>
      <protection/>
    </xf>
    <xf numFmtId="1" fontId="5" fillId="0" borderId="0" xfId="92" applyNumberFormat="1" applyFill="1" applyBorder="1" applyAlignment="1">
      <alignment horizontal="center"/>
    </xf>
    <xf numFmtId="0" fontId="5" fillId="0" borderId="0" xfId="148" applyFill="1" applyBorder="1" applyAlignment="1">
      <alignment horizontal="centerContinuous"/>
      <protection/>
    </xf>
    <xf numFmtId="0" fontId="5" fillId="0" borderId="0" xfId="149" applyFont="1" applyFill="1">
      <alignment/>
      <protection/>
    </xf>
    <xf numFmtId="0" fontId="12" fillId="0" borderId="0" xfId="149" applyFont="1" applyFill="1">
      <alignment/>
      <protection/>
    </xf>
    <xf numFmtId="43" fontId="5" fillId="0" borderId="12" xfId="91" applyFont="1" applyFill="1" applyBorder="1" applyAlignment="1" quotePrefix="1">
      <alignment/>
    </xf>
    <xf numFmtId="43" fontId="5" fillId="0" borderId="0" xfId="148" applyNumberFormat="1" applyFill="1">
      <alignment/>
      <protection/>
    </xf>
    <xf numFmtId="0" fontId="5" fillId="0" borderId="12" xfId="148" applyFont="1" applyFill="1" applyBorder="1" applyAlignment="1">
      <alignment horizontal="centerContinuous"/>
      <protection/>
    </xf>
    <xf numFmtId="0" fontId="5" fillId="0" borderId="0" xfId="148" applyFont="1" applyFill="1" applyBorder="1" applyAlignment="1">
      <alignment horizontal="centerContinuous"/>
      <protection/>
    </xf>
    <xf numFmtId="0" fontId="5" fillId="0" borderId="12" xfId="149" applyFont="1" applyFill="1" applyBorder="1" quotePrefix="1">
      <alignment/>
      <protection/>
    </xf>
    <xf numFmtId="0" fontId="13" fillId="0" borderId="12" xfId="150" applyFont="1" applyFill="1" applyBorder="1">
      <alignment/>
      <protection/>
    </xf>
    <xf numFmtId="0" fontId="5" fillId="0" borderId="12" xfId="148" applyFont="1" applyFill="1" applyBorder="1" applyAlignment="1">
      <alignment horizontal="center"/>
      <protection/>
    </xf>
    <xf numFmtId="0" fontId="12" fillId="0" borderId="0" xfId="148" applyFont="1" applyFill="1">
      <alignment/>
      <protection/>
    </xf>
    <xf numFmtId="0" fontId="5" fillId="0" borderId="13" xfId="148" applyFont="1" applyFill="1" applyBorder="1">
      <alignment/>
      <protection/>
    </xf>
    <xf numFmtId="3" fontId="5" fillId="0" borderId="13" xfId="92" applyNumberFormat="1" applyFill="1" applyBorder="1" applyAlignment="1">
      <alignment/>
    </xf>
    <xf numFmtId="0" fontId="7" fillId="0" borderId="0" xfId="148" applyFont="1" applyFill="1" applyBorder="1" applyAlignment="1">
      <alignment/>
      <protection/>
    </xf>
    <xf numFmtId="0" fontId="7" fillId="0" borderId="0" xfId="148" applyFont="1" applyFill="1" applyBorder="1">
      <alignment/>
      <protection/>
    </xf>
    <xf numFmtId="3" fontId="5" fillId="0" borderId="0" xfId="92" applyNumberFormat="1" applyFill="1" applyBorder="1" applyAlignment="1">
      <alignment/>
    </xf>
    <xf numFmtId="3" fontId="7" fillId="0" borderId="0" xfId="92" applyNumberFormat="1" applyFont="1" applyFill="1" applyBorder="1" applyAlignment="1">
      <alignment/>
    </xf>
    <xf numFmtId="4" fontId="7" fillId="0" borderId="0" xfId="92" applyNumberFormat="1" applyFont="1" applyFill="1" applyBorder="1" applyAlignment="1">
      <alignment/>
    </xf>
    <xf numFmtId="2" fontId="7" fillId="0" borderId="0" xfId="92" applyNumberFormat="1" applyFont="1" applyFill="1" applyBorder="1" applyAlignment="1">
      <alignment/>
    </xf>
    <xf numFmtId="168" fontId="5" fillId="0" borderId="0" xfId="93" applyNumberFormat="1" applyFont="1" applyFill="1" applyAlignment="1">
      <alignment/>
    </xf>
    <xf numFmtId="2" fontId="5" fillId="0" borderId="0" xfId="92" applyNumberFormat="1" applyFont="1" applyFill="1" applyAlignment="1">
      <alignment/>
    </xf>
    <xf numFmtId="1" fontId="5" fillId="0" borderId="0" xfId="92" applyNumberFormat="1" applyFont="1" applyFill="1" applyBorder="1" applyAlignment="1">
      <alignment/>
    </xf>
    <xf numFmtId="1" fontId="5" fillId="0" borderId="0" xfId="92" applyNumberFormat="1" applyFont="1" applyFill="1" applyAlignment="1">
      <alignment horizontal="center"/>
    </xf>
    <xf numFmtId="1" fontId="5" fillId="0" borderId="0" xfId="92" applyNumberFormat="1" applyFont="1" applyFill="1" applyAlignment="1">
      <alignment/>
    </xf>
    <xf numFmtId="164" fontId="5" fillId="0" borderId="0" xfId="75" applyNumberFormat="1" applyFill="1" applyAlignment="1">
      <alignment/>
    </xf>
    <xf numFmtId="164" fontId="7" fillId="0" borderId="0" xfId="75" applyNumberFormat="1" applyFont="1" applyFill="1" applyAlignment="1">
      <alignment/>
    </xf>
    <xf numFmtId="2" fontId="5" fillId="0" borderId="0" xfId="92" applyNumberFormat="1" applyFill="1" applyAlignment="1">
      <alignment/>
    </xf>
    <xf numFmtId="3" fontId="5" fillId="0" borderId="0" xfId="92" applyNumberFormat="1" applyFont="1" applyFill="1" applyAlignment="1">
      <alignment/>
    </xf>
    <xf numFmtId="1" fontId="12" fillId="0" borderId="0" xfId="148" applyNumberFormat="1" applyFont="1" applyFill="1" applyAlignment="1">
      <alignment horizontal="center"/>
      <protection/>
    </xf>
    <xf numFmtId="2" fontId="12" fillId="0" borderId="0" xfId="148" applyNumberFormat="1" applyFont="1" applyFill="1">
      <alignment/>
      <protection/>
    </xf>
    <xf numFmtId="3" fontId="12" fillId="0" borderId="0" xfId="148" applyNumberFormat="1" applyFont="1" applyFill="1">
      <alignment/>
      <protection/>
    </xf>
    <xf numFmtId="0" fontId="9" fillId="0" borderId="0" xfId="148" applyFont="1" applyFill="1">
      <alignment/>
      <protection/>
    </xf>
    <xf numFmtId="3" fontId="5" fillId="0" borderId="0" xfId="92" applyNumberFormat="1" applyFont="1" applyFill="1" applyBorder="1" applyAlignment="1">
      <alignment/>
    </xf>
    <xf numFmtId="43" fontId="5" fillId="0" borderId="13" xfId="91" applyFont="1" applyFill="1" applyBorder="1" applyAlignment="1">
      <alignment/>
    </xf>
    <xf numFmtId="0" fontId="12" fillId="0" borderId="0" xfId="148" applyFont="1" applyFill="1">
      <alignment/>
      <protection/>
    </xf>
    <xf numFmtId="0" fontId="7" fillId="0" borderId="10" xfId="148" applyFont="1" applyFill="1" applyBorder="1" applyAlignment="1">
      <alignment horizontal="center"/>
      <protection/>
    </xf>
    <xf numFmtId="43" fontId="7" fillId="0" borderId="10" xfId="91" applyFont="1" applyFill="1" applyBorder="1" applyAlignment="1">
      <alignment/>
    </xf>
    <xf numFmtId="43" fontId="5" fillId="0" borderId="0" xfId="46" applyFont="1" applyFill="1" applyAlignment="1">
      <alignment/>
    </xf>
    <xf numFmtId="4" fontId="5" fillId="0" borderId="0" xfId="148" applyNumberFormat="1" applyFill="1">
      <alignment/>
      <protection/>
    </xf>
    <xf numFmtId="14" fontId="5" fillId="0" borderId="0" xfId="148" applyNumberFormat="1" applyFill="1">
      <alignment/>
      <protection/>
    </xf>
    <xf numFmtId="0" fontId="11" fillId="0" borderId="12" xfId="148" applyFont="1" applyFill="1" applyBorder="1">
      <alignment/>
      <protection/>
    </xf>
    <xf numFmtId="43" fontId="14" fillId="0" borderId="10" xfId="72" applyFont="1" applyFill="1" applyBorder="1" applyAlignment="1">
      <alignment horizontal="center" wrapText="1"/>
    </xf>
    <xf numFmtId="0" fontId="14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" fillId="0" borderId="14" xfId="14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5" fillId="0" borderId="12" xfId="149" applyFont="1" applyFill="1" applyBorder="1" applyAlignment="1">
      <alignment horizontal="center" vertical="center"/>
      <protection/>
    </xf>
    <xf numFmtId="0" fontId="0" fillId="0" borderId="15" xfId="0" applyFill="1" applyBorder="1" applyAlignment="1">
      <alignment/>
    </xf>
    <xf numFmtId="0" fontId="5" fillId="0" borderId="13" xfId="149" applyFont="1" applyFill="1" applyBorder="1" applyAlignment="1">
      <alignment horizontal="center" vertical="center"/>
      <protection/>
    </xf>
    <xf numFmtId="0" fontId="5" fillId="0" borderId="0" xfId="151" applyFont="1" applyFill="1">
      <alignment/>
      <protection/>
    </xf>
    <xf numFmtId="0" fontId="5" fillId="0" borderId="12" xfId="148" applyFont="1" applyFill="1" applyBorder="1">
      <alignment/>
      <protection/>
    </xf>
    <xf numFmtId="43" fontId="5" fillId="0" borderId="0" xfId="91" applyFont="1" applyFill="1" applyBorder="1" applyAlignment="1">
      <alignment/>
    </xf>
    <xf numFmtId="43" fontId="5" fillId="0" borderId="0" xfId="148" applyNumberFormat="1" applyFill="1" applyBorder="1">
      <alignment/>
      <protection/>
    </xf>
    <xf numFmtId="4" fontId="5" fillId="0" borderId="0" xfId="148" applyNumberFormat="1" applyFill="1" applyBorder="1">
      <alignment/>
      <protection/>
    </xf>
    <xf numFmtId="43" fontId="12" fillId="0" borderId="0" xfId="46" applyFont="1" applyFill="1" applyAlignment="1">
      <alignment/>
    </xf>
    <xf numFmtId="4" fontId="5" fillId="0" borderId="12" xfId="94" applyNumberFormat="1" applyFont="1" applyFill="1" applyBorder="1" applyAlignment="1">
      <alignment/>
    </xf>
    <xf numFmtId="0" fontId="5" fillId="0" borderId="10" xfId="152" applyFill="1" applyBorder="1">
      <alignment/>
      <protection/>
    </xf>
    <xf numFmtId="0" fontId="5" fillId="0" borderId="0" xfId="152" applyFill="1">
      <alignment/>
      <protection/>
    </xf>
    <xf numFmtId="14" fontId="5" fillId="0" borderId="0" xfId="152" applyNumberFormat="1" applyFill="1">
      <alignment/>
      <protection/>
    </xf>
    <xf numFmtId="0" fontId="5" fillId="0" borderId="0" xfId="152" applyFill="1" applyAlignment="1">
      <alignment horizontal="center"/>
      <protection/>
    </xf>
    <xf numFmtId="169" fontId="5" fillId="0" borderId="0" xfId="94" applyNumberFormat="1" applyFill="1" applyAlignment="1">
      <alignment/>
    </xf>
    <xf numFmtId="4" fontId="5" fillId="0" borderId="0" xfId="94" applyNumberFormat="1" applyFill="1" applyAlignment="1">
      <alignment/>
    </xf>
    <xf numFmtId="14" fontId="5" fillId="0" borderId="0" xfId="152" applyNumberFormat="1" applyFill="1" applyAlignment="1">
      <alignment horizontal="center"/>
      <protection/>
    </xf>
    <xf numFmtId="169" fontId="7" fillId="0" borderId="16" xfId="94" applyNumberFormat="1" applyFont="1" applyFill="1" applyBorder="1" applyAlignment="1">
      <alignment horizontal="center" wrapText="1"/>
    </xf>
    <xf numFmtId="14" fontId="7" fillId="0" borderId="17" xfId="152" applyNumberFormat="1" applyFont="1" applyFill="1" applyBorder="1" applyAlignment="1">
      <alignment horizontal="center" wrapText="1"/>
      <protection/>
    </xf>
    <xf numFmtId="0" fontId="7" fillId="0" borderId="14" xfId="152" applyFont="1" applyFill="1" applyBorder="1" applyAlignment="1">
      <alignment horizontal="center" vertical="center"/>
      <protection/>
    </xf>
    <xf numFmtId="14" fontId="5" fillId="0" borderId="10" xfId="152" applyNumberFormat="1" applyFill="1" applyBorder="1">
      <alignment/>
      <protection/>
    </xf>
    <xf numFmtId="0" fontId="5" fillId="0" borderId="10" xfId="152" applyFill="1" applyBorder="1" applyAlignment="1">
      <alignment horizontal="center"/>
      <protection/>
    </xf>
    <xf numFmtId="169" fontId="5" fillId="0" borderId="10" xfId="94" applyNumberFormat="1" applyFill="1" applyBorder="1" applyAlignment="1">
      <alignment/>
    </xf>
    <xf numFmtId="4" fontId="5" fillId="0" borderId="13" xfId="94" applyNumberFormat="1" applyFill="1" applyBorder="1" applyAlignment="1">
      <alignment/>
    </xf>
    <xf numFmtId="4" fontId="5" fillId="0" borderId="10" xfId="94" applyNumberFormat="1" applyFill="1" applyBorder="1" applyAlignment="1">
      <alignment/>
    </xf>
    <xf numFmtId="14" fontId="5" fillId="0" borderId="10" xfId="152" applyNumberFormat="1" applyFill="1" applyBorder="1" applyAlignment="1">
      <alignment horizontal="center"/>
      <protection/>
    </xf>
    <xf numFmtId="0" fontId="5" fillId="0" borderId="11" xfId="152" applyFill="1" applyBorder="1">
      <alignment/>
      <protection/>
    </xf>
    <xf numFmtId="0" fontId="5" fillId="0" borderId="11" xfId="152" applyFill="1" applyBorder="1" applyAlignment="1">
      <alignment horizontal="center"/>
      <protection/>
    </xf>
    <xf numFmtId="4" fontId="5" fillId="0" borderId="11" xfId="94" applyNumberFormat="1" applyFill="1" applyBorder="1" applyAlignment="1">
      <alignment/>
    </xf>
    <xf numFmtId="14" fontId="0" fillId="0" borderId="0" xfId="81" applyNumberFormat="1" applyFont="1" applyFill="1" applyAlignment="1">
      <alignment/>
    </xf>
    <xf numFmtId="14" fontId="0" fillId="0" borderId="0" xfId="0" applyNumberFormat="1" applyFill="1" applyAlignment="1">
      <alignment/>
    </xf>
    <xf numFmtId="0" fontId="5" fillId="0" borderId="13" xfId="152" applyFill="1" applyBorder="1">
      <alignment/>
      <protection/>
    </xf>
    <xf numFmtId="14" fontId="5" fillId="0" borderId="13" xfId="152" applyNumberFormat="1" applyFill="1" applyBorder="1">
      <alignment/>
      <protection/>
    </xf>
    <xf numFmtId="0" fontId="5" fillId="0" borderId="13" xfId="152" applyFill="1" applyBorder="1" applyAlignment="1">
      <alignment horizontal="center"/>
      <protection/>
    </xf>
    <xf numFmtId="169" fontId="5" fillId="0" borderId="13" xfId="94" applyNumberFormat="1" applyFill="1" applyBorder="1" applyAlignment="1">
      <alignment/>
    </xf>
    <xf numFmtId="14" fontId="5" fillId="0" borderId="13" xfId="152" applyNumberFormat="1" applyFill="1" applyBorder="1" applyAlignment="1">
      <alignment horizontal="center"/>
      <protection/>
    </xf>
    <xf numFmtId="169" fontId="5" fillId="0" borderId="13" xfId="94" applyNumberFormat="1" applyFont="1" applyFill="1" applyBorder="1" applyAlignment="1">
      <alignment/>
    </xf>
    <xf numFmtId="164" fontId="5" fillId="0" borderId="0" xfId="81" applyNumberFormat="1" applyFill="1" applyAlignment="1">
      <alignment/>
    </xf>
    <xf numFmtId="164" fontId="5" fillId="0" borderId="13" xfId="94" applyNumberFormat="1" applyFill="1" applyBorder="1" applyAlignment="1">
      <alignment/>
    </xf>
    <xf numFmtId="4" fontId="5" fillId="0" borderId="10" xfId="94" applyNumberFormat="1" applyFont="1" applyFill="1" applyBorder="1" applyAlignment="1">
      <alignment/>
    </xf>
    <xf numFmtId="0" fontId="5" fillId="0" borderId="10" xfId="152" applyFont="1" applyFill="1" applyBorder="1">
      <alignment/>
      <protection/>
    </xf>
    <xf numFmtId="0" fontId="5" fillId="0" borderId="10" xfId="152" applyFont="1" applyFill="1" applyBorder="1" applyAlignment="1">
      <alignment horizontal="center"/>
      <protection/>
    </xf>
    <xf numFmtId="169" fontId="5" fillId="0" borderId="10" xfId="94" applyNumberFormat="1" applyFont="1" applyFill="1" applyBorder="1" applyAlignment="1">
      <alignment/>
    </xf>
    <xf numFmtId="164" fontId="5" fillId="0" borderId="10" xfId="94" applyNumberFormat="1" applyFill="1" applyBorder="1" applyAlignment="1">
      <alignment/>
    </xf>
    <xf numFmtId="0" fontId="5" fillId="0" borderId="10" xfId="152" applyFont="1" applyFill="1" applyBorder="1">
      <alignment/>
      <protection/>
    </xf>
    <xf numFmtId="14" fontId="5" fillId="0" borderId="10" xfId="152" applyNumberFormat="1" applyFont="1" applyFill="1" applyBorder="1">
      <alignment/>
      <protection/>
    </xf>
    <xf numFmtId="0" fontId="7" fillId="0" borderId="10" xfId="152" applyFont="1" applyFill="1" applyBorder="1" applyAlignment="1">
      <alignment horizontal="center"/>
      <protection/>
    </xf>
    <xf numFmtId="4" fontId="7" fillId="0" borderId="10" xfId="94" applyNumberFormat="1" applyFont="1" applyFill="1" applyBorder="1" applyAlignment="1">
      <alignment/>
    </xf>
    <xf numFmtId="171" fontId="7" fillId="0" borderId="10" xfId="94" applyNumberFormat="1" applyFont="1" applyFill="1" applyBorder="1" applyAlignment="1">
      <alignment/>
    </xf>
    <xf numFmtId="0" fontId="7" fillId="0" borderId="0" xfId="152" applyFont="1" applyFill="1">
      <alignment/>
      <protection/>
    </xf>
    <xf numFmtId="0" fontId="5" fillId="0" borderId="13" xfId="152" applyFont="1" applyFill="1" applyBorder="1">
      <alignment/>
      <protection/>
    </xf>
    <xf numFmtId="14" fontId="5" fillId="0" borderId="13" xfId="152" applyNumberFormat="1" applyFont="1" applyFill="1" applyBorder="1">
      <alignment/>
      <protection/>
    </xf>
    <xf numFmtId="0" fontId="7" fillId="0" borderId="18" xfId="152" applyFont="1" applyFill="1" applyBorder="1" applyAlignment="1">
      <alignment horizontal="center"/>
      <protection/>
    </xf>
    <xf numFmtId="169" fontId="5" fillId="0" borderId="12" xfId="94" applyNumberFormat="1" applyFont="1" applyFill="1" applyBorder="1" applyAlignment="1">
      <alignment/>
    </xf>
    <xf numFmtId="171" fontId="7" fillId="0" borderId="14" xfId="94" applyNumberFormat="1" applyFont="1" applyFill="1" applyBorder="1" applyAlignment="1">
      <alignment/>
    </xf>
    <xf numFmtId="14" fontId="5" fillId="0" borderId="10" xfId="152" applyNumberFormat="1" applyFont="1" applyFill="1" applyBorder="1" applyAlignment="1">
      <alignment horizontal="center"/>
      <protection/>
    </xf>
    <xf numFmtId="0" fontId="5" fillId="0" borderId="18" xfId="152" applyFont="1" applyFill="1" applyBorder="1" applyAlignment="1">
      <alignment horizontal="center"/>
      <protection/>
    </xf>
    <xf numFmtId="4" fontId="5" fillId="0" borderId="14" xfId="94" applyNumberFormat="1" applyFont="1" applyFill="1" applyBorder="1" applyAlignment="1">
      <alignment/>
    </xf>
    <xf numFmtId="14" fontId="5" fillId="0" borderId="10" xfId="152" applyNumberFormat="1" applyFont="1" applyFill="1" applyBorder="1" applyAlignment="1" quotePrefix="1">
      <alignment horizontal="center"/>
      <protection/>
    </xf>
    <xf numFmtId="169" fontId="5" fillId="0" borderId="0" xfId="152" applyNumberFormat="1" applyFill="1">
      <alignment/>
      <protection/>
    </xf>
    <xf numFmtId="14" fontId="5" fillId="0" borderId="10" xfId="146" applyNumberFormat="1" applyFill="1" applyBorder="1" applyAlignment="1">
      <alignment/>
      <protection/>
    </xf>
    <xf numFmtId="4" fontId="20" fillId="0" borderId="13" xfId="94" applyNumberFormat="1" applyFont="1" applyFill="1" applyBorder="1" applyAlignment="1">
      <alignment/>
    </xf>
    <xf numFmtId="4" fontId="5" fillId="0" borderId="10" xfId="94" applyNumberFormat="1" applyFont="1" applyFill="1" applyBorder="1" applyAlignment="1" quotePrefix="1">
      <alignment/>
    </xf>
    <xf numFmtId="169" fontId="5" fillId="0" borderId="10" xfId="94" applyNumberFormat="1" applyFont="1" applyFill="1" applyBorder="1" applyAlignment="1">
      <alignment horizontal="center"/>
    </xf>
    <xf numFmtId="4" fontId="5" fillId="0" borderId="0" xfId="152" applyNumberFormat="1" applyFill="1">
      <alignment/>
      <protection/>
    </xf>
    <xf numFmtId="14" fontId="5" fillId="0" borderId="10" xfId="94" applyNumberFormat="1" applyFill="1" applyBorder="1" applyAlignment="1">
      <alignment horizontal="center"/>
    </xf>
    <xf numFmtId="14" fontId="5" fillId="0" borderId="10" xfId="152" applyNumberFormat="1" applyFill="1" applyBorder="1" applyAlignment="1">
      <alignment/>
      <protection/>
    </xf>
    <xf numFmtId="169" fontId="12" fillId="0" borderId="10" xfId="94" applyNumberFormat="1" applyFont="1" applyFill="1" applyBorder="1" applyAlignment="1">
      <alignment/>
    </xf>
    <xf numFmtId="15" fontId="5" fillId="0" borderId="14" xfId="152" applyNumberFormat="1" applyFill="1" applyBorder="1" applyAlignment="1">
      <alignment horizontal="center"/>
      <protection/>
    </xf>
    <xf numFmtId="14" fontId="5" fillId="0" borderId="0" xfId="146" applyNumberFormat="1" applyFill="1">
      <alignment/>
      <protection/>
    </xf>
    <xf numFmtId="0" fontId="5" fillId="0" borderId="14" xfId="152" applyNumberFormat="1" applyFill="1" applyBorder="1" applyAlignment="1">
      <alignment horizontal="center"/>
      <protection/>
    </xf>
    <xf numFmtId="4" fontId="7" fillId="0" borderId="0" xfId="94" applyNumberFormat="1" applyFont="1" applyFill="1" applyBorder="1" applyAlignment="1">
      <alignment/>
    </xf>
    <xf numFmtId="4" fontId="7" fillId="0" borderId="14" xfId="94" applyNumberFormat="1" applyFont="1" applyFill="1" applyBorder="1" applyAlignment="1">
      <alignment/>
    </xf>
    <xf numFmtId="14" fontId="7" fillId="0" borderId="10" xfId="152" applyNumberFormat="1" applyFont="1" applyFill="1" applyBorder="1" applyAlignment="1">
      <alignment horizontal="center"/>
      <protection/>
    </xf>
    <xf numFmtId="4" fontId="7" fillId="0" borderId="0" xfId="152" applyNumberFormat="1" applyFont="1" applyFill="1">
      <alignment/>
      <protection/>
    </xf>
    <xf numFmtId="0" fontId="5" fillId="0" borderId="0" xfId="152" applyFill="1" applyBorder="1">
      <alignment/>
      <protection/>
    </xf>
    <xf numFmtId="14" fontId="5" fillId="0" borderId="0" xfId="152" applyNumberFormat="1" applyFill="1" applyBorder="1">
      <alignment/>
      <protection/>
    </xf>
    <xf numFmtId="0" fontId="5" fillId="0" borderId="0" xfId="152" applyFill="1" applyBorder="1" applyAlignment="1">
      <alignment horizontal="center"/>
      <protection/>
    </xf>
    <xf numFmtId="169" fontId="5" fillId="0" borderId="0" xfId="94" applyNumberFormat="1" applyFont="1" applyFill="1" applyBorder="1" applyAlignment="1">
      <alignment/>
    </xf>
    <xf numFmtId="164" fontId="5" fillId="0" borderId="0" xfId="152" applyNumberFormat="1" applyFill="1" applyBorder="1" applyAlignment="1">
      <alignment horizontal="center"/>
      <protection/>
    </xf>
    <xf numFmtId="0" fontId="5" fillId="0" borderId="0" xfId="152" applyFont="1" applyFill="1">
      <alignment/>
      <protection/>
    </xf>
    <xf numFmtId="3" fontId="17" fillId="0" borderId="0" xfId="147" applyNumberFormat="1" applyFont="1" applyFill="1" applyAlignment="1">
      <alignment horizontal="right"/>
      <protection/>
    </xf>
    <xf numFmtId="0" fontId="13" fillId="0" borderId="0" xfId="147" applyFont="1" applyFill="1">
      <alignment/>
      <protection/>
    </xf>
    <xf numFmtId="4" fontId="13" fillId="0" borderId="0" xfId="147" applyNumberFormat="1" applyFont="1" applyFill="1">
      <alignment/>
      <protection/>
    </xf>
    <xf numFmtId="172" fontId="13" fillId="0" borderId="0" xfId="147" applyNumberFormat="1" applyFont="1" applyFill="1" applyAlignment="1">
      <alignment horizontal="center"/>
      <protection/>
    </xf>
    <xf numFmtId="3" fontId="13" fillId="0" borderId="0" xfId="147" applyNumberFormat="1" applyFont="1" applyFill="1">
      <alignment/>
      <protection/>
    </xf>
    <xf numFmtId="0" fontId="5" fillId="0" borderId="0" xfId="149" applyFont="1" applyFill="1" applyBorder="1" quotePrefix="1">
      <alignment/>
      <protection/>
    </xf>
    <xf numFmtId="1" fontId="9" fillId="0" borderId="0" xfId="148" applyNumberFormat="1" applyFont="1" applyFill="1" applyAlignment="1">
      <alignment horizontal="center"/>
      <protection/>
    </xf>
    <xf numFmtId="2" fontId="5" fillId="0" borderId="12" xfId="92" applyNumberFormat="1" applyFont="1" applyFill="1" applyBorder="1" applyAlignment="1">
      <alignment horizontal="center"/>
    </xf>
    <xf numFmtId="0" fontId="2" fillId="0" borderId="14" xfId="148" applyFont="1" applyFill="1" applyBorder="1">
      <alignment/>
      <protection/>
    </xf>
    <xf numFmtId="43" fontId="5" fillId="0" borderId="18" xfId="91" applyFont="1" applyFill="1" applyBorder="1" applyAlignment="1">
      <alignment/>
    </xf>
    <xf numFmtId="0" fontId="5" fillId="0" borderId="18" xfId="148" applyFill="1" applyBorder="1">
      <alignment/>
      <protection/>
    </xf>
    <xf numFmtId="0" fontId="5" fillId="0" borderId="13" xfId="149" applyFont="1" applyFill="1" applyBorder="1">
      <alignment/>
      <protection/>
    </xf>
    <xf numFmtId="0" fontId="5" fillId="0" borderId="18" xfId="148" applyFill="1" applyBorder="1" applyAlignment="1">
      <alignment horizontal="centerContinuous"/>
      <protection/>
    </xf>
    <xf numFmtId="0" fontId="5" fillId="0" borderId="12" xfId="149" applyFont="1" applyFill="1" applyBorder="1">
      <alignment/>
      <protection/>
    </xf>
    <xf numFmtId="0" fontId="5" fillId="0" borderId="12" xfId="148" applyFont="1" applyFill="1" applyBorder="1" quotePrefix="1">
      <alignment/>
      <protection/>
    </xf>
    <xf numFmtId="4" fontId="5" fillId="0" borderId="0" xfId="148" applyNumberFormat="1" applyFont="1" applyFill="1">
      <alignment/>
      <protection/>
    </xf>
    <xf numFmtId="0" fontId="5" fillId="0" borderId="0" xfId="148" applyFont="1" applyFill="1">
      <alignment/>
      <protection/>
    </xf>
    <xf numFmtId="1" fontId="5" fillId="0" borderId="0" xfId="92" applyNumberFormat="1" applyFont="1" applyFill="1" applyBorder="1" applyAlignment="1">
      <alignment horizontal="center"/>
    </xf>
    <xf numFmtId="1" fontId="7" fillId="0" borderId="10" xfId="148" applyNumberFormat="1" applyFont="1" applyFill="1" applyBorder="1" applyAlignment="1">
      <alignment horizontal="center"/>
      <protection/>
    </xf>
    <xf numFmtId="0" fontId="14" fillId="0" borderId="19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1" fontId="12" fillId="0" borderId="11" xfId="148" applyNumberFormat="1" applyFont="1" applyFill="1" applyBorder="1" applyAlignment="1">
      <alignment horizontal="center"/>
      <protection/>
    </xf>
    <xf numFmtId="1" fontId="12" fillId="0" borderId="12" xfId="148" applyNumberFormat="1" applyFont="1" applyFill="1" applyBorder="1" applyAlignment="1">
      <alignment horizontal="center"/>
      <protection/>
    </xf>
    <xf numFmtId="1" fontId="5" fillId="0" borderId="12" xfId="148" applyNumberFormat="1" applyFill="1" applyBorder="1" applyAlignment="1">
      <alignment horizontal="center"/>
      <protection/>
    </xf>
    <xf numFmtId="1" fontId="5" fillId="0" borderId="13" xfId="148" applyNumberFormat="1" applyFill="1" applyBorder="1" applyAlignment="1">
      <alignment horizontal="center"/>
      <protection/>
    </xf>
    <xf numFmtId="173" fontId="3" fillId="0" borderId="0" xfId="0" applyNumberFormat="1" applyFont="1" applyFill="1" applyBorder="1" applyAlignment="1">
      <alignment horizontal="right" vertical="center"/>
    </xf>
    <xf numFmtId="43" fontId="14" fillId="0" borderId="0" xfId="72" applyFont="1" applyFill="1" applyBorder="1" applyAlignment="1">
      <alignment horizontal="center" wrapText="1"/>
    </xf>
    <xf numFmtId="0" fontId="7" fillId="0" borderId="0" xfId="148" applyFont="1" applyFill="1" applyBorder="1" applyAlignment="1">
      <alignment horizontal="center"/>
      <protection/>
    </xf>
    <xf numFmtId="1" fontId="5" fillId="0" borderId="12" xfId="148" applyNumberFormat="1" applyFont="1" applyFill="1" applyBorder="1" applyAlignment="1">
      <alignment horizontal="center"/>
      <protection/>
    </xf>
    <xf numFmtId="169" fontId="7" fillId="0" borderId="0" xfId="94" applyNumberFormat="1" applyFont="1" applyFill="1" applyAlignment="1">
      <alignment/>
    </xf>
    <xf numFmtId="14" fontId="7" fillId="0" borderId="0" xfId="152" applyNumberFormat="1" applyFont="1" applyFill="1" applyAlignment="1">
      <alignment horizontal="center"/>
      <protection/>
    </xf>
    <xf numFmtId="170" fontId="5" fillId="0" borderId="10" xfId="146" applyNumberFormat="1" applyFont="1" applyFill="1" applyBorder="1">
      <alignment/>
      <protection/>
    </xf>
    <xf numFmtId="0" fontId="0" fillId="0" borderId="11" xfId="152" applyFont="1" applyFill="1" applyBorder="1">
      <alignment/>
      <protection/>
    </xf>
    <xf numFmtId="14" fontId="0" fillId="0" borderId="11" xfId="0" applyNumberFormat="1" applyFill="1" applyBorder="1" applyAlignment="1">
      <alignment/>
    </xf>
    <xf numFmtId="169" fontId="5" fillId="0" borderId="11" xfId="94" applyNumberFormat="1" applyFill="1" applyBorder="1" applyAlignment="1">
      <alignment/>
    </xf>
    <xf numFmtId="4" fontId="0" fillId="0" borderId="13" xfId="81" applyNumberFormat="1" applyFont="1" applyFill="1" applyBorder="1" applyAlignment="1">
      <alignment/>
    </xf>
    <xf numFmtId="0" fontId="7" fillId="0" borderId="0" xfId="152" applyFont="1" applyFill="1" applyBorder="1" applyAlignment="1">
      <alignment horizontal="center"/>
      <protection/>
    </xf>
    <xf numFmtId="0" fontId="62" fillId="0" borderId="10" xfId="152" applyFont="1" applyFill="1" applyBorder="1">
      <alignment/>
      <protection/>
    </xf>
    <xf numFmtId="0" fontId="7" fillId="0" borderId="10" xfId="152" applyFont="1" applyFill="1" applyBorder="1">
      <alignment/>
      <protection/>
    </xf>
    <xf numFmtId="14" fontId="63" fillId="0" borderId="10" xfId="0" applyNumberFormat="1" applyFont="1" applyFill="1" applyBorder="1" applyAlignment="1">
      <alignment/>
    </xf>
    <xf numFmtId="169" fontId="7" fillId="0" borderId="10" xfId="94" applyNumberFormat="1" applyFont="1" applyFill="1" applyBorder="1" applyAlignment="1">
      <alignment/>
    </xf>
    <xf numFmtId="14" fontId="5" fillId="0" borderId="11" xfId="152" applyNumberFormat="1" applyFill="1" applyBorder="1" applyAlignment="1">
      <alignment/>
      <protection/>
    </xf>
    <xf numFmtId="169" fontId="12" fillId="0" borderId="11" xfId="94" applyNumberFormat="1" applyFont="1" applyFill="1" applyBorder="1" applyAlignment="1">
      <alignment/>
    </xf>
    <xf numFmtId="14" fontId="7" fillId="0" borderId="10" xfId="152" applyNumberFormat="1" applyFont="1" applyFill="1" applyBorder="1">
      <alignment/>
      <protection/>
    </xf>
    <xf numFmtId="0" fontId="23" fillId="0" borderId="10" xfId="152" applyFont="1" applyFill="1" applyBorder="1">
      <alignment/>
      <protection/>
    </xf>
    <xf numFmtId="4" fontId="5" fillId="0" borderId="10" xfId="94" applyNumberFormat="1" applyFont="1" applyFill="1" applyBorder="1" applyAlignment="1">
      <alignment/>
    </xf>
    <xf numFmtId="4" fontId="5" fillId="0" borderId="10" xfId="146" applyNumberFormat="1" applyFill="1" applyBorder="1">
      <alignment/>
      <protection/>
    </xf>
    <xf numFmtId="164" fontId="5" fillId="0" borderId="10" xfId="81" applyNumberFormat="1" applyFont="1" applyFill="1" applyBorder="1" applyAlignment="1">
      <alignment/>
    </xf>
    <xf numFmtId="164" fontId="0" fillId="0" borderId="10" xfId="81" applyNumberFormat="1" applyFont="1" applyFill="1" applyBorder="1" applyAlignment="1">
      <alignment/>
    </xf>
    <xf numFmtId="0" fontId="15" fillId="0" borderId="0" xfId="152" applyFont="1" applyFill="1" applyAlignment="1">
      <alignment horizontal="center"/>
      <protection/>
    </xf>
    <xf numFmtId="0" fontId="5" fillId="0" borderId="11" xfId="152" applyFont="1" applyFill="1" applyBorder="1" applyAlignment="1">
      <alignment horizontal="center"/>
      <protection/>
    </xf>
    <xf numFmtId="0" fontId="5" fillId="0" borderId="13" xfId="152" applyFont="1" applyFill="1" applyBorder="1" applyAlignment="1">
      <alignment horizontal="center"/>
      <protection/>
    </xf>
    <xf numFmtId="0" fontId="5" fillId="0" borderId="0" xfId="152" applyFont="1" applyFill="1" applyBorder="1" applyAlignment="1">
      <alignment horizontal="center"/>
      <protection/>
    </xf>
    <xf numFmtId="0" fontId="5" fillId="0" borderId="12" xfId="152" applyFill="1" applyBorder="1" applyAlignment="1">
      <alignment horizontal="center"/>
      <protection/>
    </xf>
    <xf numFmtId="0" fontId="5" fillId="0" borderId="12" xfId="152" applyFont="1" applyFill="1" applyBorder="1" applyAlignment="1">
      <alignment horizontal="center"/>
      <protection/>
    </xf>
    <xf numFmtId="0" fontId="5" fillId="0" borderId="0" xfId="151" applyFont="1">
      <alignment/>
      <protection/>
    </xf>
    <xf numFmtId="0" fontId="16" fillId="0" borderId="0" xfId="151" applyFont="1" applyAlignment="1">
      <alignment horizontal="center"/>
      <protection/>
    </xf>
    <xf numFmtId="0" fontId="5" fillId="0" borderId="10" xfId="146" applyFont="1" applyFill="1" applyBorder="1" applyAlignment="1">
      <alignment horizontal="center"/>
      <protection/>
    </xf>
    <xf numFmtId="0" fontId="26" fillId="0" borderId="10" xfId="145" applyFont="1" applyFill="1" applyBorder="1" applyAlignment="1">
      <alignment horizontal="center" vertical="center"/>
      <protection/>
    </xf>
    <xf numFmtId="172" fontId="26" fillId="0" borderId="10" xfId="145" applyNumberFormat="1" applyFont="1" applyFill="1" applyBorder="1" applyAlignment="1">
      <alignment horizontal="center" vertical="center" wrapText="1"/>
      <protection/>
    </xf>
    <xf numFmtId="4" fontId="26" fillId="0" borderId="10" xfId="145" applyNumberFormat="1" applyFont="1" applyFill="1" applyBorder="1" applyAlignment="1">
      <alignment horizontal="center" vertical="center" wrapText="1"/>
      <protection/>
    </xf>
    <xf numFmtId="3" fontId="26" fillId="0" borderId="10" xfId="145" applyNumberFormat="1" applyFont="1" applyFill="1" applyBorder="1" applyAlignment="1">
      <alignment horizontal="center" vertical="center" wrapText="1"/>
      <protection/>
    </xf>
    <xf numFmtId="3" fontId="26" fillId="0" borderId="10" xfId="145" applyNumberFormat="1" applyFont="1" applyBorder="1" applyAlignment="1">
      <alignment horizontal="center" vertical="center" wrapText="1"/>
      <protection/>
    </xf>
    <xf numFmtId="0" fontId="26" fillId="0" borderId="0" xfId="145" applyFont="1">
      <alignment/>
      <protection/>
    </xf>
    <xf numFmtId="0" fontId="18" fillId="0" borderId="0" xfId="147" applyFont="1" applyFill="1" applyAlignment="1">
      <alignment horizontal="center"/>
      <protection/>
    </xf>
    <xf numFmtId="0" fontId="27" fillId="0" borderId="0" xfId="147" applyFont="1" applyFill="1" applyAlignment="1">
      <alignment horizontal="center"/>
      <protection/>
    </xf>
    <xf numFmtId="0" fontId="28" fillId="0" borderId="0" xfId="147" applyFont="1" applyFill="1">
      <alignment/>
      <protection/>
    </xf>
    <xf numFmtId="172" fontId="26" fillId="0" borderId="0" xfId="145" applyNumberFormat="1" applyFont="1" applyFill="1" applyBorder="1" applyAlignment="1">
      <alignment horizontal="center" vertical="center" wrapText="1"/>
      <protection/>
    </xf>
    <xf numFmtId="0" fontId="29" fillId="0" borderId="0" xfId="145" applyFont="1" applyFill="1" applyBorder="1" applyAlignment="1">
      <alignment horizontal="left" vertical="center" wrapText="1"/>
      <protection/>
    </xf>
    <xf numFmtId="164" fontId="26" fillId="0" borderId="0" xfId="82" applyNumberFormat="1" applyFont="1" applyFill="1" applyBorder="1" applyAlignment="1">
      <alignment/>
    </xf>
    <xf numFmtId="168" fontId="26" fillId="0" borderId="10" xfId="82" applyNumberFormat="1" applyFont="1" applyFill="1" applyBorder="1" applyAlignment="1">
      <alignment/>
    </xf>
    <xf numFmtId="14" fontId="26" fillId="0" borderId="10" xfId="82" applyNumberFormat="1" applyFont="1" applyFill="1" applyBorder="1" applyAlignment="1">
      <alignment horizontal="center"/>
    </xf>
    <xf numFmtId="168" fontId="26" fillId="0" borderId="10" xfId="82" applyNumberFormat="1" applyFont="1" applyFill="1" applyBorder="1" applyAlignment="1">
      <alignment horizontal="left"/>
    </xf>
    <xf numFmtId="0" fontId="26" fillId="0" borderId="10" xfId="151" applyFont="1" applyFill="1" applyBorder="1">
      <alignment/>
      <protection/>
    </xf>
    <xf numFmtId="14" fontId="26" fillId="0" borderId="10" xfId="151" applyNumberFormat="1" applyFont="1" applyFill="1" applyBorder="1">
      <alignment/>
      <protection/>
    </xf>
    <xf numFmtId="164" fontId="26" fillId="0" borderId="10" xfId="82" applyNumberFormat="1" applyFont="1" applyFill="1" applyBorder="1" applyAlignment="1">
      <alignment/>
    </xf>
    <xf numFmtId="168" fontId="16" fillId="0" borderId="0" xfId="82" applyNumberFormat="1" applyFont="1" applyFill="1" applyBorder="1" applyAlignment="1">
      <alignment horizontal="center"/>
    </xf>
    <xf numFmtId="0" fontId="13" fillId="0" borderId="0" xfId="147" applyFont="1" applyFill="1" applyAlignment="1">
      <alignment horizontal="center"/>
      <protection/>
    </xf>
    <xf numFmtId="0" fontId="26" fillId="0" borderId="10" xfId="145" applyFont="1" applyFill="1" applyBorder="1" applyAlignment="1">
      <alignment horizontal="center" vertical="center" wrapText="1"/>
      <protection/>
    </xf>
    <xf numFmtId="0" fontId="26" fillId="0" borderId="10" xfId="147" applyFont="1" applyFill="1" applyBorder="1" applyAlignment="1">
      <alignment horizontal="center"/>
      <protection/>
    </xf>
    <xf numFmtId="0" fontId="26" fillId="0" borderId="10" xfId="151" applyFont="1" applyFill="1" applyBorder="1" applyAlignment="1">
      <alignment horizontal="center"/>
      <protection/>
    </xf>
    <xf numFmtId="168" fontId="23" fillId="0" borderId="10" xfId="82" applyNumberFormat="1" applyFont="1" applyFill="1" applyBorder="1" applyAlignment="1">
      <alignment/>
    </xf>
    <xf numFmtId="0" fontId="23" fillId="0" borderId="10" xfId="147" applyFont="1" applyFill="1" applyBorder="1" applyAlignment="1">
      <alignment horizontal="center"/>
      <protection/>
    </xf>
    <xf numFmtId="168" fontId="23" fillId="0" borderId="10" xfId="82" applyNumberFormat="1" applyFont="1" applyFill="1" applyBorder="1" applyAlignment="1">
      <alignment horizontal="center"/>
    </xf>
    <xf numFmtId="0" fontId="26" fillId="0" borderId="14" xfId="145" applyFont="1" applyFill="1" applyBorder="1" applyAlignment="1">
      <alignment horizontal="center" vertical="center"/>
      <protection/>
    </xf>
    <xf numFmtId="164" fontId="26" fillId="0" borderId="18" xfId="82" applyNumberFormat="1" applyFont="1" applyFill="1" applyBorder="1" applyAlignment="1">
      <alignment/>
    </xf>
    <xf numFmtId="0" fontId="16" fillId="0" borderId="14" xfId="147" applyFont="1" applyFill="1" applyBorder="1" applyAlignment="1">
      <alignment horizontal="center"/>
      <protection/>
    </xf>
    <xf numFmtId="164" fontId="23" fillId="0" borderId="10" xfId="82" applyNumberFormat="1" applyFont="1" applyFill="1" applyBorder="1" applyAlignment="1">
      <alignment/>
    </xf>
    <xf numFmtId="4" fontId="19" fillId="0" borderId="0" xfId="147" applyNumberFormat="1" applyFont="1" applyFill="1">
      <alignment/>
      <protection/>
    </xf>
    <xf numFmtId="0" fontId="19" fillId="0" borderId="0" xfId="147" applyFont="1" applyFill="1">
      <alignment/>
      <protection/>
    </xf>
    <xf numFmtId="14" fontId="23" fillId="0" borderId="10" xfId="151" applyNumberFormat="1" applyFont="1" applyFill="1" applyBorder="1">
      <alignment/>
      <protection/>
    </xf>
    <xf numFmtId="1" fontId="9" fillId="0" borderId="0" xfId="148" applyNumberFormat="1" applyFont="1" applyFill="1" applyAlignment="1">
      <alignment horizontal="center"/>
      <protection/>
    </xf>
    <xf numFmtId="0" fontId="7" fillId="0" borderId="10" xfId="152" applyFont="1" applyFill="1" applyBorder="1" applyAlignment="1">
      <alignment horizontal="center" wrapText="1"/>
      <protection/>
    </xf>
    <xf numFmtId="14" fontId="7" fillId="0" borderId="10" xfId="152" applyNumberFormat="1" applyFont="1" applyFill="1" applyBorder="1" applyAlignment="1">
      <alignment horizontal="center" wrapText="1"/>
      <protection/>
    </xf>
    <xf numFmtId="169" fontId="7" fillId="0" borderId="10" xfId="94" applyNumberFormat="1" applyFont="1" applyFill="1" applyBorder="1" applyAlignment="1">
      <alignment horizontal="center" wrapText="1"/>
    </xf>
    <xf numFmtId="4" fontId="7" fillId="0" borderId="10" xfId="94" applyNumberFormat="1" applyFont="1" applyFill="1" applyBorder="1" applyAlignment="1">
      <alignment horizontal="center" wrapText="1"/>
    </xf>
    <xf numFmtId="1" fontId="5" fillId="0" borderId="12" xfId="149" applyNumberFormat="1" applyFont="1" applyFill="1" applyBorder="1" applyAlignment="1">
      <alignment horizontal="center"/>
      <protection/>
    </xf>
    <xf numFmtId="0" fontId="5" fillId="0" borderId="12" xfId="149" applyFont="1" applyFill="1" applyBorder="1" applyAlignment="1">
      <alignment horizontal="center"/>
      <protection/>
    </xf>
    <xf numFmtId="1" fontId="5" fillId="0" borderId="13" xfId="149" applyNumberFormat="1" applyFont="1" applyFill="1" applyBorder="1" applyAlignment="1">
      <alignment horizontal="center"/>
      <protection/>
    </xf>
    <xf numFmtId="0" fontId="24" fillId="0" borderId="0" xfId="151" applyFont="1" applyAlignment="1">
      <alignment horizontal="center"/>
      <protection/>
    </xf>
    <xf numFmtId="0" fontId="25" fillId="0" borderId="0" xfId="151" applyFont="1" applyAlignment="1">
      <alignment horizontal="center"/>
      <protection/>
    </xf>
    <xf numFmtId="0" fontId="27" fillId="0" borderId="0" xfId="147" applyFont="1" applyFill="1" applyAlignment="1">
      <alignment horizontal="center"/>
      <protection/>
    </xf>
    <xf numFmtId="1" fontId="9" fillId="0" borderId="0" xfId="148" applyNumberFormat="1" applyFont="1" applyFill="1" applyAlignment="1">
      <alignment horizontal="center"/>
      <protection/>
    </xf>
    <xf numFmtId="0" fontId="7" fillId="0" borderId="10" xfId="148" applyFont="1" applyFill="1" applyBorder="1" applyAlignment="1">
      <alignment horizontal="center" vertical="center"/>
      <protection/>
    </xf>
    <xf numFmtId="0" fontId="9" fillId="0" borderId="0" xfId="148" applyFont="1" applyFill="1" applyAlignment="1">
      <alignment horizontal="center"/>
      <protection/>
    </xf>
  </cellXfs>
  <cellStyles count="1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Milliers 10" xfId="48"/>
    <cellStyle name="Milliers 11" xfId="49"/>
    <cellStyle name="Milliers 11 2" xfId="50"/>
    <cellStyle name="Milliers 12" xfId="51"/>
    <cellStyle name="Milliers 13" xfId="52"/>
    <cellStyle name="Milliers 14" xfId="53"/>
    <cellStyle name="Milliers 15" xfId="54"/>
    <cellStyle name="Milliers 16" xfId="55"/>
    <cellStyle name="Milliers 17" xfId="56"/>
    <cellStyle name="Milliers 17 2" xfId="57"/>
    <cellStyle name="Milliers 18" xfId="58"/>
    <cellStyle name="Milliers 19" xfId="59"/>
    <cellStyle name="Milliers 2" xfId="60"/>
    <cellStyle name="Milliers 2 2" xfId="61"/>
    <cellStyle name="Milliers 2 2 2" xfId="62"/>
    <cellStyle name="Milliers 2 2 2 2" xfId="63"/>
    <cellStyle name="Milliers 20" xfId="64"/>
    <cellStyle name="Milliers 21" xfId="65"/>
    <cellStyle name="Milliers 22" xfId="66"/>
    <cellStyle name="Milliers 23" xfId="67"/>
    <cellStyle name="Milliers 24" xfId="68"/>
    <cellStyle name="Milliers 25" xfId="69"/>
    <cellStyle name="Milliers 26" xfId="70"/>
    <cellStyle name="Milliers 26 2" xfId="71"/>
    <cellStyle name="Milliers 27" xfId="72"/>
    <cellStyle name="Milliers 28" xfId="73"/>
    <cellStyle name="Milliers 28 2" xfId="74"/>
    <cellStyle name="Milliers 29" xfId="75"/>
    <cellStyle name="Milliers 3" xfId="76"/>
    <cellStyle name="Milliers 30" xfId="77"/>
    <cellStyle name="Milliers 31" xfId="78"/>
    <cellStyle name="Milliers 32" xfId="79"/>
    <cellStyle name="Milliers 33" xfId="80"/>
    <cellStyle name="Milliers 34" xfId="81"/>
    <cellStyle name="Milliers 35" xfId="82"/>
    <cellStyle name="Milliers 4" xfId="83"/>
    <cellStyle name="Milliers 5" xfId="84"/>
    <cellStyle name="Milliers 6" xfId="85"/>
    <cellStyle name="Milliers 7" xfId="86"/>
    <cellStyle name="Milliers 8" xfId="87"/>
    <cellStyle name="Milliers 8 2" xfId="88"/>
    <cellStyle name="Milliers 9" xfId="89"/>
    <cellStyle name="Milliers 9 2" xfId="90"/>
    <cellStyle name="Milliers_eds 2012" xfId="91"/>
    <cellStyle name="Milliers_Liste participation" xfId="92"/>
    <cellStyle name="Milliers_participation 2011" xfId="93"/>
    <cellStyle name="Milliers_Reste à amortir 3" xfId="94"/>
    <cellStyle name="Currency" xfId="95"/>
    <cellStyle name="Currency [0]" xfId="96"/>
    <cellStyle name="Neutre" xfId="97"/>
    <cellStyle name="Normal 2" xfId="98"/>
    <cellStyle name="Normal 2 10" xfId="99"/>
    <cellStyle name="Normal 2 2" xfId="100"/>
    <cellStyle name="Normal 2 2 2" xfId="101"/>
    <cellStyle name="Normal 2 3" xfId="102"/>
    <cellStyle name="Normal 2 3 2" xfId="103"/>
    <cellStyle name="Normal 2 4" xfId="104"/>
    <cellStyle name="Normal 2 4 2" xfId="105"/>
    <cellStyle name="Normal 2 5" xfId="106"/>
    <cellStyle name="Normal 2 5 2" xfId="107"/>
    <cellStyle name="Normal 2 6" xfId="108"/>
    <cellStyle name="Normal 2 6 2" xfId="109"/>
    <cellStyle name="Normal 2 7" xfId="110"/>
    <cellStyle name="Normal 2 7 2" xfId="111"/>
    <cellStyle name="Normal 2 8" xfId="112"/>
    <cellStyle name="Normal 2 8 2" xfId="113"/>
    <cellStyle name="Normal 2 9" xfId="114"/>
    <cellStyle name="Normal 2 9 2" xfId="115"/>
    <cellStyle name="Normal 20" xfId="116"/>
    <cellStyle name="Normal 20 2" xfId="117"/>
    <cellStyle name="Normal 20 3" xfId="118"/>
    <cellStyle name="Normal 21" xfId="119"/>
    <cellStyle name="Normal 21 2" xfId="120"/>
    <cellStyle name="Normal 21 3" xfId="121"/>
    <cellStyle name="Normal 3" xfId="122"/>
    <cellStyle name="Normal 3 10" xfId="123"/>
    <cellStyle name="Normal 3 10 2" xfId="124"/>
    <cellStyle name="Normal 3 2" xfId="125"/>
    <cellStyle name="Normal 3 3" xfId="126"/>
    <cellStyle name="Normal 3 3 2" xfId="127"/>
    <cellStyle name="Normal 3 4" xfId="128"/>
    <cellStyle name="Normal 3 4 2" xfId="129"/>
    <cellStyle name="Normal 3 5" xfId="130"/>
    <cellStyle name="Normal 3 5 2" xfId="131"/>
    <cellStyle name="Normal 3 6" xfId="132"/>
    <cellStyle name="Normal 3 6 2" xfId="133"/>
    <cellStyle name="Normal 3 7" xfId="134"/>
    <cellStyle name="Normal 3 7 2" xfId="135"/>
    <cellStyle name="Normal 3 8" xfId="136"/>
    <cellStyle name="Normal 3 8 2" xfId="137"/>
    <cellStyle name="Normal 3 9" xfId="138"/>
    <cellStyle name="Normal 3 9 2" xfId="139"/>
    <cellStyle name="Normal 3_4721121" xfId="140"/>
    <cellStyle name="Normal 4" xfId="141"/>
    <cellStyle name="Normal 5" xfId="142"/>
    <cellStyle name="Normal 6" xfId="143"/>
    <cellStyle name="Normal 6 2" xfId="144"/>
    <cellStyle name="Normal 7" xfId="145"/>
    <cellStyle name="Normal 8" xfId="146"/>
    <cellStyle name="Normal 9" xfId="147"/>
    <cellStyle name="Normal_Liste participation" xfId="148"/>
    <cellStyle name="Normal_Liste participation_fin 2012" xfId="149"/>
    <cellStyle name="Normal_Participation" xfId="150"/>
    <cellStyle name="Normal_Reste à amortir 2" xfId="151"/>
    <cellStyle name="Normal_Reste à amortir 3" xfId="152"/>
    <cellStyle name="Percent" xfId="153"/>
    <cellStyle name="Satisfaisant" xfId="154"/>
    <cellStyle name="Sortie" xfId="155"/>
    <cellStyle name="Texte explicatif" xfId="156"/>
    <cellStyle name="Titre" xfId="157"/>
    <cellStyle name="Titre 1" xfId="158"/>
    <cellStyle name="Titre 2" xfId="159"/>
    <cellStyle name="Titre 3" xfId="160"/>
    <cellStyle name="Titre 4" xfId="161"/>
    <cellStyle name="Total" xfId="162"/>
    <cellStyle name="Vérification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\Loi%20de%20r&#232;glement%202001\ACCT\TableauAppui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roit de souscription Org Inter"/>
      <sheetName val="Participation"/>
      <sheetName val="Reste à recouvrer"/>
      <sheetName val="K à amortir par compte"/>
      <sheetName val="K à amortir"/>
      <sheetName val="Feuil1"/>
      <sheetName val="Feuil2"/>
      <sheetName val="Feuil3"/>
    </sheetNames>
    <sheetDataSet>
      <sheetData sheetId="5">
        <row r="20">
          <cell r="A20">
            <v>50939028</v>
          </cell>
          <cell r="C20" t="str">
            <v>2/03-2013</v>
          </cell>
        </row>
        <row r="21">
          <cell r="A21">
            <v>2439612</v>
          </cell>
          <cell r="C21" t="str">
            <v>3/01-2013</v>
          </cell>
        </row>
        <row r="22">
          <cell r="A22">
            <v>13656006</v>
          </cell>
          <cell r="C22" t="str">
            <v>3/02-2013</v>
          </cell>
        </row>
        <row r="23">
          <cell r="A23">
            <v>7475244</v>
          </cell>
          <cell r="C23" t="str">
            <v>3/03-2013</v>
          </cell>
        </row>
        <row r="24">
          <cell r="A24">
            <v>48663468</v>
          </cell>
          <cell r="C24" t="str">
            <v>3/04-2013</v>
          </cell>
        </row>
        <row r="25">
          <cell r="A25">
            <v>7474264</v>
          </cell>
          <cell r="C25" t="str">
            <v>3/05-2013</v>
          </cell>
        </row>
        <row r="26">
          <cell r="A26">
            <v>49174832</v>
          </cell>
          <cell r="C26" t="str">
            <v>4/01-2013</v>
          </cell>
        </row>
        <row r="27">
          <cell r="A27">
            <v>9266292</v>
          </cell>
          <cell r="C27" t="str">
            <v>4/02-2013</v>
          </cell>
        </row>
        <row r="28">
          <cell r="A28">
            <v>4973892</v>
          </cell>
          <cell r="C28" t="str">
            <v>4/03-2013</v>
          </cell>
        </row>
        <row r="29">
          <cell r="A29">
            <v>55832422.8</v>
          </cell>
          <cell r="C29" t="str">
            <v>5/01-2013</v>
          </cell>
        </row>
        <row r="30">
          <cell r="A30">
            <v>2606212</v>
          </cell>
          <cell r="C30" t="str">
            <v>5/02-2013</v>
          </cell>
        </row>
        <row r="31">
          <cell r="A31">
            <v>7497784</v>
          </cell>
          <cell r="C31" t="str">
            <v>5/03-2013</v>
          </cell>
        </row>
        <row r="32">
          <cell r="A32">
            <v>3087000</v>
          </cell>
          <cell r="C32" t="str">
            <v>6/01-2013</v>
          </cell>
        </row>
        <row r="33">
          <cell r="A33">
            <v>8430156</v>
          </cell>
          <cell r="C33" t="str">
            <v>6/02-2013</v>
          </cell>
        </row>
        <row r="34">
          <cell r="A34">
            <v>6419000</v>
          </cell>
          <cell r="C34" t="str">
            <v>6/03-2013</v>
          </cell>
        </row>
        <row r="35">
          <cell r="A35">
            <v>50957648</v>
          </cell>
          <cell r="C35" t="str">
            <v>6/04-2013</v>
          </cell>
        </row>
        <row r="36">
          <cell r="A36">
            <v>16642556</v>
          </cell>
          <cell r="C36" t="str">
            <v>7/01-2013</v>
          </cell>
        </row>
        <row r="37">
          <cell r="A37">
            <v>12343100</v>
          </cell>
          <cell r="C37" t="str">
            <v>7/02-2013</v>
          </cell>
        </row>
        <row r="38">
          <cell r="A38">
            <v>50367884</v>
          </cell>
          <cell r="C38" t="str">
            <v>7/03-2013</v>
          </cell>
        </row>
        <row r="39">
          <cell r="A39">
            <v>5707520</v>
          </cell>
          <cell r="C39" t="str">
            <v>8/01-2013</v>
          </cell>
        </row>
        <row r="40">
          <cell r="A40">
            <v>5693212</v>
          </cell>
          <cell r="C40" t="str">
            <v>8/02-2013</v>
          </cell>
        </row>
        <row r="41">
          <cell r="A41">
            <v>46307940</v>
          </cell>
          <cell r="C41" t="str">
            <v>8/03-2013</v>
          </cell>
        </row>
        <row r="42">
          <cell r="A42">
            <v>9283736</v>
          </cell>
          <cell r="C42" t="str">
            <v>8/04-2013</v>
          </cell>
        </row>
        <row r="43">
          <cell r="A43">
            <v>7718872</v>
          </cell>
          <cell r="C43" t="str">
            <v>9/01-2013</v>
          </cell>
        </row>
        <row r="44">
          <cell r="A44">
            <v>6533464</v>
          </cell>
          <cell r="C44" t="str">
            <v>9/02-2013</v>
          </cell>
        </row>
        <row r="45">
          <cell r="A45">
            <v>2606212</v>
          </cell>
          <cell r="C45" t="str">
            <v>9/03-2013</v>
          </cell>
        </row>
        <row r="46">
          <cell r="A46">
            <v>45899280</v>
          </cell>
          <cell r="C46" t="str">
            <v>9/04-2013</v>
          </cell>
        </row>
        <row r="47">
          <cell r="A47">
            <v>53831792</v>
          </cell>
          <cell r="C47" t="str">
            <v>10/01-2013</v>
          </cell>
        </row>
        <row r="48">
          <cell r="A48">
            <v>3835328</v>
          </cell>
          <cell r="C48" t="str">
            <v>10/02-2013</v>
          </cell>
        </row>
        <row r="49">
          <cell r="A49">
            <v>12397000</v>
          </cell>
          <cell r="C49" t="str">
            <v>10/03-2013</v>
          </cell>
        </row>
        <row r="50">
          <cell r="A50">
            <v>50082900</v>
          </cell>
          <cell r="C50" t="str">
            <v>11/01-2013</v>
          </cell>
        </row>
        <row r="51">
          <cell r="A51">
            <v>9841356</v>
          </cell>
          <cell r="C51" t="str">
            <v>11/02-2013</v>
          </cell>
        </row>
        <row r="52">
          <cell r="A52">
            <v>7575204</v>
          </cell>
          <cell r="C52" t="str">
            <v>11/03-2013</v>
          </cell>
        </row>
        <row r="53">
          <cell r="A53">
            <v>55408459.12</v>
          </cell>
          <cell r="C53" t="str">
            <v>12/01-2013</v>
          </cell>
        </row>
        <row r="54">
          <cell r="A54">
            <v>3087000</v>
          </cell>
          <cell r="C54" t="str">
            <v>12/02-2013</v>
          </cell>
        </row>
        <row r="55">
          <cell r="A55">
            <v>7932708</v>
          </cell>
          <cell r="C55" t="str">
            <v>12/03-2013</v>
          </cell>
        </row>
        <row r="56">
          <cell r="A56">
            <v>12517148</v>
          </cell>
          <cell r="C56" t="str">
            <v>12/04-2013</v>
          </cell>
        </row>
        <row r="57">
          <cell r="A57">
            <v>6385680</v>
          </cell>
          <cell r="C57" t="str">
            <v>12/05-2013</v>
          </cell>
        </row>
        <row r="58">
          <cell r="A58">
            <v>827208929.12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47"/>
  <sheetViews>
    <sheetView zoomScalePageLayoutView="0" workbookViewId="0" topLeftCell="A1">
      <selection activeCell="J13" sqref="J13"/>
    </sheetView>
  </sheetViews>
  <sheetFormatPr defaultColWidth="11.421875" defaultRowHeight="12.75" outlineLevelRow="2"/>
  <cols>
    <col min="1" max="1" width="6.7109375" style="92" customWidth="1"/>
    <col min="2" max="2" width="9.421875" style="92" customWidth="1"/>
    <col min="3" max="3" width="28.28125" style="90" customWidth="1"/>
    <col min="4" max="4" width="18.28125" style="90" customWidth="1"/>
    <col min="5" max="5" width="11.8515625" style="91" customWidth="1"/>
    <col min="6" max="6" width="9.28125" style="92" hidden="1" customWidth="1"/>
    <col min="7" max="7" width="6.57421875" style="93" hidden="1" customWidth="1"/>
    <col min="8" max="8" width="17.00390625" style="94" customWidth="1"/>
    <col min="9" max="9" width="21.00390625" style="94" customWidth="1"/>
    <col min="10" max="10" width="21.00390625" style="93" customWidth="1"/>
    <col min="11" max="11" width="21.140625" style="94" customWidth="1"/>
    <col min="12" max="12" width="19.28125" style="94" customWidth="1"/>
    <col min="13" max="13" width="22.00390625" style="93" hidden="1" customWidth="1"/>
    <col min="14" max="14" width="10.28125" style="95" hidden="1" customWidth="1"/>
    <col min="15" max="15" width="8.8515625" style="90" customWidth="1"/>
    <col min="16" max="16" width="19.28125" style="90" customWidth="1"/>
    <col min="17" max="16384" width="11.421875" style="90" customWidth="1"/>
  </cols>
  <sheetData>
    <row r="1" ht="12.75">
      <c r="A1" s="210"/>
    </row>
    <row r="2" spans="1:14" s="216" customFormat="1" ht="16.5">
      <c r="A2" s="260" t="s">
        <v>208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</row>
    <row r="3" spans="1:14" s="216" customFormat="1" ht="15.7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</row>
    <row r="4" spans="1:14" s="216" customFormat="1" ht="18">
      <c r="A4" s="261" t="s">
        <v>209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</row>
    <row r="5" ht="13.5" thickBot="1"/>
    <row r="6" spans="1:15" ht="39" customHeight="1" thickBot="1">
      <c r="A6" s="253" t="s">
        <v>144</v>
      </c>
      <c r="B6" s="253" t="s">
        <v>0</v>
      </c>
      <c r="C6" s="253" t="s">
        <v>145</v>
      </c>
      <c r="D6" s="253" t="s">
        <v>207</v>
      </c>
      <c r="E6" s="254" t="s">
        <v>1</v>
      </c>
      <c r="F6" s="253" t="s">
        <v>146</v>
      </c>
      <c r="G6" s="255" t="s">
        <v>147</v>
      </c>
      <c r="H6" s="256" t="s">
        <v>150</v>
      </c>
      <c r="I6" s="256" t="s">
        <v>148</v>
      </c>
      <c r="J6" s="255" t="s">
        <v>213</v>
      </c>
      <c r="K6" s="256" t="s">
        <v>149</v>
      </c>
      <c r="L6" s="256" t="s">
        <v>191</v>
      </c>
      <c r="M6" s="96"/>
      <c r="N6" s="97" t="s">
        <v>151</v>
      </c>
      <c r="O6" s="98"/>
    </row>
    <row r="7" spans="1:14" ht="25.5" customHeight="1" outlineLevel="2">
      <c r="A7" s="120">
        <v>227</v>
      </c>
      <c r="B7" s="100">
        <v>2731</v>
      </c>
      <c r="C7" s="89" t="s">
        <v>152</v>
      </c>
      <c r="D7" s="100" t="s">
        <v>153</v>
      </c>
      <c r="E7" s="99">
        <v>29768</v>
      </c>
      <c r="F7" s="100" t="s">
        <v>154</v>
      </c>
      <c r="G7" s="101">
        <v>42284902</v>
      </c>
      <c r="H7" s="103">
        <v>798958.8</v>
      </c>
      <c r="I7" s="192">
        <v>798958.8</v>
      </c>
      <c r="J7" s="101"/>
      <c r="K7" s="103"/>
      <c r="L7" s="103">
        <f aca="true" t="shared" si="0" ref="L7:L39">+H7-I7+J7</f>
        <v>0</v>
      </c>
      <c r="M7" s="103"/>
      <c r="N7" s="104">
        <v>42475</v>
      </c>
    </row>
    <row r="8" spans="1:14" ht="12.75" outlineLevel="2">
      <c r="A8" s="120">
        <v>317</v>
      </c>
      <c r="B8" s="100">
        <v>2731</v>
      </c>
      <c r="C8" s="89" t="s">
        <v>155</v>
      </c>
      <c r="D8" s="100" t="s">
        <v>153</v>
      </c>
      <c r="E8" s="99">
        <v>37628</v>
      </c>
      <c r="F8" s="100" t="s">
        <v>154</v>
      </c>
      <c r="G8" s="101"/>
      <c r="H8" s="103">
        <v>3360000000</v>
      </c>
      <c r="I8" s="103">
        <f>2*140000000</f>
        <v>280000000</v>
      </c>
      <c r="J8" s="101"/>
      <c r="K8" s="103"/>
      <c r="L8" s="103">
        <f t="shared" si="0"/>
        <v>3080000000</v>
      </c>
      <c r="M8" s="107"/>
      <c r="N8" s="108">
        <v>46690</v>
      </c>
    </row>
    <row r="9" spans="1:14" ht="12.75">
      <c r="A9" s="211">
        <v>334</v>
      </c>
      <c r="B9" s="106">
        <v>2731</v>
      </c>
      <c r="C9" s="193" t="s">
        <v>169</v>
      </c>
      <c r="D9" s="106" t="s">
        <v>153</v>
      </c>
      <c r="E9" s="194">
        <v>42682</v>
      </c>
      <c r="F9" s="106"/>
      <c r="G9" s="195"/>
      <c r="H9" s="107"/>
      <c r="I9" s="107"/>
      <c r="J9" s="107">
        <v>12600000000</v>
      </c>
      <c r="K9" s="107"/>
      <c r="L9" s="107">
        <f>+H9-I9+J9</f>
        <v>12600000000</v>
      </c>
      <c r="N9" s="95">
        <v>48121</v>
      </c>
    </row>
    <row r="10" spans="1:14" s="128" customFormat="1" ht="15.75">
      <c r="A10" s="125"/>
      <c r="B10" s="125"/>
      <c r="C10" s="198" t="s">
        <v>205</v>
      </c>
      <c r="D10" s="125"/>
      <c r="E10" s="200"/>
      <c r="F10" s="125"/>
      <c r="G10" s="201"/>
      <c r="H10" s="126">
        <f>SUM(H7:H9)</f>
        <v>3360798958.8</v>
      </c>
      <c r="I10" s="126">
        <f>SUM(I7:I9)</f>
        <v>280798958.8</v>
      </c>
      <c r="J10" s="126">
        <f>SUM(J7:J9)</f>
        <v>12600000000</v>
      </c>
      <c r="K10" s="126">
        <f>SUM(K7:K9)</f>
        <v>0</v>
      </c>
      <c r="L10" s="126">
        <f>SUM(L7:L9)</f>
        <v>15680000000</v>
      </c>
      <c r="M10" s="190"/>
      <c r="N10" s="191"/>
    </row>
    <row r="11" spans="1:14" ht="12.75" customHeight="1" outlineLevel="2">
      <c r="A11" s="212">
        <v>276</v>
      </c>
      <c r="B11" s="112">
        <v>2732</v>
      </c>
      <c r="C11" s="110" t="s">
        <v>156</v>
      </c>
      <c r="D11" s="112" t="s">
        <v>8</v>
      </c>
      <c r="E11" s="111">
        <v>33253</v>
      </c>
      <c r="F11" s="112" t="s">
        <v>141</v>
      </c>
      <c r="G11" s="113">
        <v>2349245</v>
      </c>
      <c r="H11" s="102">
        <v>2047293707.9</v>
      </c>
      <c r="I11" s="196">
        <f>259426560.12+243252594.23</f>
        <v>502679154.35</v>
      </c>
      <c r="J11" s="113"/>
      <c r="K11" s="102"/>
      <c r="L11" s="102">
        <f>+H11-I11+J11</f>
        <v>1544614553.55</v>
      </c>
      <c r="M11" s="102">
        <v>18025580871.05</v>
      </c>
      <c r="N11" s="114">
        <v>30</v>
      </c>
    </row>
    <row r="12" spans="1:16" ht="14.25" customHeight="1" outlineLevel="2">
      <c r="A12" s="212">
        <v>279</v>
      </c>
      <c r="B12" s="100">
        <v>2732</v>
      </c>
      <c r="C12" s="110" t="s">
        <v>157</v>
      </c>
      <c r="D12" s="112" t="s">
        <v>6</v>
      </c>
      <c r="E12" s="111">
        <v>33366</v>
      </c>
      <c r="F12" s="112" t="s">
        <v>158</v>
      </c>
      <c r="G12" s="115">
        <v>75509586</v>
      </c>
      <c r="H12" s="102">
        <v>5365148264.3</v>
      </c>
      <c r="I12" s="196">
        <f>2*536514826.43</f>
        <v>1073029652.86</v>
      </c>
      <c r="J12" s="113"/>
      <c r="K12" s="102"/>
      <c r="L12" s="103">
        <f>+H12-I12+J12</f>
        <v>4292118611.44</v>
      </c>
      <c r="M12" s="102">
        <v>72224632861.38</v>
      </c>
      <c r="N12" s="114">
        <v>44135</v>
      </c>
      <c r="P12" s="116"/>
    </row>
    <row r="13" spans="1:14" ht="12.75" outlineLevel="2">
      <c r="A13" s="120">
        <v>293</v>
      </c>
      <c r="B13" s="100">
        <v>2732</v>
      </c>
      <c r="C13" s="89" t="s">
        <v>159</v>
      </c>
      <c r="D13" s="100" t="s">
        <v>160</v>
      </c>
      <c r="E13" s="99">
        <v>35956</v>
      </c>
      <c r="F13" s="100" t="s">
        <v>161</v>
      </c>
      <c r="G13" s="113">
        <v>2160298</v>
      </c>
      <c r="H13" s="103">
        <v>2019263073.97</v>
      </c>
      <c r="I13" s="196"/>
      <c r="J13" s="117"/>
      <c r="K13" s="103"/>
      <c r="L13" s="103">
        <f t="shared" si="0"/>
        <v>2019263073.97</v>
      </c>
      <c r="M13" s="103">
        <v>7518734063.1</v>
      </c>
      <c r="N13" s="104">
        <v>47118</v>
      </c>
    </row>
    <row r="14" spans="1:14" ht="12.75" outlineLevel="2">
      <c r="A14" s="120">
        <v>307</v>
      </c>
      <c r="B14" s="100">
        <v>2732</v>
      </c>
      <c r="C14" s="89" t="s">
        <v>162</v>
      </c>
      <c r="D14" s="100" t="s">
        <v>163</v>
      </c>
      <c r="E14" s="99">
        <v>32982</v>
      </c>
      <c r="F14" s="100" t="s">
        <v>154</v>
      </c>
      <c r="G14" s="101">
        <v>2667206858</v>
      </c>
      <c r="H14" s="103">
        <v>733481887</v>
      </c>
      <c r="I14" s="196"/>
      <c r="J14" s="113"/>
      <c r="K14" s="103"/>
      <c r="L14" s="103">
        <f t="shared" si="0"/>
        <v>733481887</v>
      </c>
      <c r="M14" s="118"/>
      <c r="N14" s="104">
        <v>44180</v>
      </c>
    </row>
    <row r="15" spans="1:14" ht="12.75" outlineLevel="2">
      <c r="A15" s="120">
        <v>311</v>
      </c>
      <c r="B15" s="100">
        <v>2732</v>
      </c>
      <c r="C15" s="119" t="s">
        <v>164</v>
      </c>
      <c r="D15" s="100" t="s">
        <v>165</v>
      </c>
      <c r="E15" s="99">
        <v>37356</v>
      </c>
      <c r="F15" s="120" t="s">
        <v>154</v>
      </c>
      <c r="G15" s="115">
        <v>2682000000</v>
      </c>
      <c r="H15" s="103">
        <v>1661230800</v>
      </c>
      <c r="I15" s="196">
        <f>43716600+43448400</f>
        <v>87165000</v>
      </c>
      <c r="J15" s="117"/>
      <c r="K15" s="103"/>
      <c r="L15" s="103">
        <f>+H15-I15+J15</f>
        <v>1574065800</v>
      </c>
      <c r="M15" s="118"/>
      <c r="N15" s="104">
        <v>48580</v>
      </c>
    </row>
    <row r="16" spans="1:14" ht="12.75" outlineLevel="2">
      <c r="A16" s="120">
        <v>312</v>
      </c>
      <c r="B16" s="100">
        <v>2732</v>
      </c>
      <c r="C16" s="89" t="s">
        <v>166</v>
      </c>
      <c r="D16" s="100" t="s">
        <v>165</v>
      </c>
      <c r="E16" s="99">
        <v>37272</v>
      </c>
      <c r="F16" s="120" t="s">
        <v>154</v>
      </c>
      <c r="G16" s="121">
        <v>280000000</v>
      </c>
      <c r="H16" s="103">
        <v>173432000</v>
      </c>
      <c r="I16" s="196">
        <f>4564000+4536000</f>
        <v>9100000</v>
      </c>
      <c r="J16" s="122"/>
      <c r="K16" s="103"/>
      <c r="L16" s="103">
        <f t="shared" si="0"/>
        <v>164332000</v>
      </c>
      <c r="M16" s="118"/>
      <c r="N16" s="104">
        <v>48580</v>
      </c>
    </row>
    <row r="17" spans="1:14" s="128" customFormat="1" ht="12.75" outlineLevel="1">
      <c r="A17" s="125">
        <v>315</v>
      </c>
      <c r="B17" s="100">
        <v>2732</v>
      </c>
      <c r="C17" s="123" t="s">
        <v>167</v>
      </c>
      <c r="D17" s="120" t="s">
        <v>4</v>
      </c>
      <c r="E17" s="124">
        <v>38035</v>
      </c>
      <c r="F17" s="125"/>
      <c r="G17" s="121">
        <v>151391497</v>
      </c>
      <c r="H17" s="102">
        <v>291273553.82</v>
      </c>
      <c r="I17" s="196">
        <f>2*18204597.11</f>
        <v>36409194.22</v>
      </c>
      <c r="J17" s="121"/>
      <c r="K17" s="126"/>
      <c r="L17" s="103">
        <f t="shared" si="0"/>
        <v>254864359.6</v>
      </c>
      <c r="M17" s="127"/>
      <c r="N17" s="109">
        <v>45200</v>
      </c>
    </row>
    <row r="18" spans="1:14" s="128" customFormat="1" ht="12.75" outlineLevel="1">
      <c r="A18" s="125"/>
      <c r="B18" s="100">
        <v>2732</v>
      </c>
      <c r="C18" s="129" t="s">
        <v>168</v>
      </c>
      <c r="D18" s="212"/>
      <c r="E18" s="130">
        <v>41638</v>
      </c>
      <c r="F18" s="131"/>
      <c r="G18" s="132"/>
      <c r="H18" s="102">
        <v>0.010000020265579224</v>
      </c>
      <c r="I18" s="196"/>
      <c r="J18" s="121"/>
      <c r="K18" s="118"/>
      <c r="L18" s="103">
        <f>+H18-I18+J18+K18</f>
        <v>0.01</v>
      </c>
      <c r="M18" s="133"/>
      <c r="N18" s="134">
        <v>42369</v>
      </c>
    </row>
    <row r="19" spans="1:14" s="128" customFormat="1" ht="18" customHeight="1" outlineLevel="1">
      <c r="A19" s="215">
        <v>97</v>
      </c>
      <c r="B19" s="100">
        <v>2732</v>
      </c>
      <c r="C19" s="130" t="s">
        <v>169</v>
      </c>
      <c r="D19" s="213" t="s">
        <v>170</v>
      </c>
      <c r="E19" s="130">
        <v>28337</v>
      </c>
      <c r="F19" s="135" t="s">
        <v>5</v>
      </c>
      <c r="G19" s="132">
        <v>1000000000</v>
      </c>
      <c r="H19" s="103">
        <v>43837794</v>
      </c>
      <c r="I19" s="196"/>
      <c r="J19" s="121"/>
      <c r="K19" s="206"/>
      <c r="L19" s="103">
        <f t="shared" si="0"/>
        <v>43837794</v>
      </c>
      <c r="M19" s="136"/>
      <c r="N19" s="137" t="s">
        <v>171</v>
      </c>
    </row>
    <row r="20" spans="1:15" ht="12.75" outlineLevel="2">
      <c r="A20" s="120">
        <v>103</v>
      </c>
      <c r="B20" s="100">
        <v>2732</v>
      </c>
      <c r="C20" s="89" t="s">
        <v>169</v>
      </c>
      <c r="D20" s="100" t="s">
        <v>172</v>
      </c>
      <c r="E20" s="99">
        <v>28649</v>
      </c>
      <c r="F20" s="100" t="s">
        <v>173</v>
      </c>
      <c r="G20" s="101">
        <v>22958011</v>
      </c>
      <c r="H20" s="103">
        <v>9093742652.8</v>
      </c>
      <c r="I20" s="196"/>
      <c r="J20" s="101"/>
      <c r="K20" s="103"/>
      <c r="L20" s="103">
        <f t="shared" si="0"/>
        <v>9093742652.8</v>
      </c>
      <c r="M20" s="103">
        <v>64177787626.77</v>
      </c>
      <c r="N20" s="104">
        <v>36937</v>
      </c>
      <c r="O20" s="138">
        <f>+K20</f>
        <v>0</v>
      </c>
    </row>
    <row r="21" spans="1:14" ht="12.75" outlineLevel="2">
      <c r="A21" s="120">
        <v>109</v>
      </c>
      <c r="B21" s="100">
        <v>2732</v>
      </c>
      <c r="C21" s="89" t="s">
        <v>169</v>
      </c>
      <c r="D21" s="100" t="s">
        <v>8</v>
      </c>
      <c r="E21" s="99">
        <v>28783</v>
      </c>
      <c r="F21" s="100" t="s">
        <v>3</v>
      </c>
      <c r="G21" s="101">
        <v>43000000</v>
      </c>
      <c r="H21" s="103">
        <v>1491529084.6</v>
      </c>
      <c r="I21" s="196"/>
      <c r="J21" s="113"/>
      <c r="K21" s="103"/>
      <c r="L21" s="103">
        <f t="shared" si="0"/>
        <v>1491529084.6</v>
      </c>
      <c r="M21" s="118" t="s">
        <v>174</v>
      </c>
      <c r="N21" s="104">
        <v>37940</v>
      </c>
    </row>
    <row r="22" spans="1:14" ht="12.75" outlineLevel="2">
      <c r="A22" s="100">
        <v>111</v>
      </c>
      <c r="B22" s="100">
        <v>2732</v>
      </c>
      <c r="C22" s="89" t="s">
        <v>169</v>
      </c>
      <c r="D22" s="100" t="s">
        <v>9</v>
      </c>
      <c r="E22" s="99">
        <v>28880</v>
      </c>
      <c r="F22" s="100" t="s">
        <v>175</v>
      </c>
      <c r="G22" s="101">
        <v>2900000</v>
      </c>
      <c r="H22" s="103">
        <v>-1676348442.4</v>
      </c>
      <c r="I22" s="102"/>
      <c r="J22" s="113"/>
      <c r="K22" s="103"/>
      <c r="L22" s="103">
        <f t="shared" si="0"/>
        <v>-1676348442.4</v>
      </c>
      <c r="M22" s="103"/>
      <c r="N22" s="104">
        <v>37985</v>
      </c>
    </row>
    <row r="23" spans="1:14" ht="12.75" outlineLevel="2">
      <c r="A23" s="100">
        <v>113</v>
      </c>
      <c r="B23" s="100">
        <v>2732</v>
      </c>
      <c r="C23" s="89" t="s">
        <v>169</v>
      </c>
      <c r="D23" s="100" t="s">
        <v>176</v>
      </c>
      <c r="E23" s="99">
        <v>28923</v>
      </c>
      <c r="F23" s="100" t="s">
        <v>7</v>
      </c>
      <c r="G23" s="101">
        <v>42400000</v>
      </c>
      <c r="H23" s="103">
        <v>10222419139.8</v>
      </c>
      <c r="I23" s="102"/>
      <c r="J23" s="113"/>
      <c r="K23" s="103"/>
      <c r="L23" s="103">
        <f t="shared" si="0"/>
        <v>10222419139.8</v>
      </c>
      <c r="M23" s="118" t="s">
        <v>174</v>
      </c>
      <c r="N23" s="104">
        <v>37985</v>
      </c>
    </row>
    <row r="24" spans="1:14" ht="12.75" outlineLevel="2">
      <c r="A24" s="100">
        <v>129</v>
      </c>
      <c r="B24" s="100">
        <v>2732</v>
      </c>
      <c r="C24" s="89" t="s">
        <v>169</v>
      </c>
      <c r="D24" s="100" t="s">
        <v>8</v>
      </c>
      <c r="E24" s="99">
        <v>29500</v>
      </c>
      <c r="F24" s="100" t="s">
        <v>3</v>
      </c>
      <c r="G24" s="101">
        <v>6905856</v>
      </c>
      <c r="H24" s="103">
        <v>-484164525.86</v>
      </c>
      <c r="I24" s="102"/>
      <c r="J24" s="113"/>
      <c r="K24" s="103"/>
      <c r="L24" s="103">
        <f t="shared" si="0"/>
        <v>-484164525.86</v>
      </c>
      <c r="M24" s="103">
        <v>4233542270.26</v>
      </c>
      <c r="N24" s="104">
        <v>38640</v>
      </c>
    </row>
    <row r="25" spans="1:14" ht="12.75" outlineLevel="2">
      <c r="A25" s="100">
        <v>243</v>
      </c>
      <c r="B25" s="100">
        <v>2732</v>
      </c>
      <c r="C25" s="89" t="s">
        <v>169</v>
      </c>
      <c r="D25" s="100" t="s">
        <v>8</v>
      </c>
      <c r="E25" s="99">
        <v>32178</v>
      </c>
      <c r="F25" s="100" t="s">
        <v>3</v>
      </c>
      <c r="G25" s="101">
        <v>4512062</v>
      </c>
      <c r="H25" s="103">
        <v>-17940790743.13</v>
      </c>
      <c r="I25" s="102"/>
      <c r="J25" s="113"/>
      <c r="K25" s="103"/>
      <c r="L25" s="103">
        <f t="shared" si="0"/>
        <v>-17940790743.13</v>
      </c>
      <c r="M25" s="103">
        <v>14566743518.1</v>
      </c>
      <c r="N25" s="104">
        <v>40967</v>
      </c>
    </row>
    <row r="26" spans="1:14" ht="12.75" outlineLevel="2">
      <c r="A26" s="100">
        <v>245</v>
      </c>
      <c r="B26" s="100">
        <v>2732</v>
      </c>
      <c r="C26" s="89" t="s">
        <v>169</v>
      </c>
      <c r="D26" s="100" t="s">
        <v>177</v>
      </c>
      <c r="E26" s="99">
        <v>32212</v>
      </c>
      <c r="F26" s="100" t="s">
        <v>158</v>
      </c>
      <c r="G26" s="101">
        <v>8618044</v>
      </c>
      <c r="H26" s="103">
        <v>20127798.2</v>
      </c>
      <c r="I26" s="102"/>
      <c r="J26" s="113"/>
      <c r="K26" s="103"/>
      <c r="L26" s="103">
        <f t="shared" si="0"/>
        <v>20127798.2</v>
      </c>
      <c r="M26" s="118" t="s">
        <v>174</v>
      </c>
      <c r="N26" s="104">
        <v>37741</v>
      </c>
    </row>
    <row r="27" spans="1:14" ht="12.75" outlineLevel="2">
      <c r="A27" s="100">
        <v>246</v>
      </c>
      <c r="B27" s="100">
        <v>2732</v>
      </c>
      <c r="C27" s="89" t="s">
        <v>169</v>
      </c>
      <c r="D27" s="100" t="s">
        <v>178</v>
      </c>
      <c r="E27" s="99">
        <v>31478</v>
      </c>
      <c r="F27" s="100" t="s">
        <v>3</v>
      </c>
      <c r="G27" s="101">
        <v>5345102</v>
      </c>
      <c r="H27" s="103">
        <v>-8512314.4</v>
      </c>
      <c r="I27" s="102"/>
      <c r="J27" s="113"/>
      <c r="K27" s="103"/>
      <c r="L27" s="103">
        <f t="shared" si="0"/>
        <v>-8512314.4</v>
      </c>
      <c r="M27" s="103">
        <v>1366594470.08</v>
      </c>
      <c r="N27" s="104">
        <v>38018</v>
      </c>
    </row>
    <row r="28" spans="1:14" ht="12.75" outlineLevel="2">
      <c r="A28" s="100">
        <v>256</v>
      </c>
      <c r="B28" s="100">
        <v>2732</v>
      </c>
      <c r="C28" s="89" t="s">
        <v>169</v>
      </c>
      <c r="D28" s="100" t="s">
        <v>177</v>
      </c>
      <c r="E28" s="99">
        <v>32350</v>
      </c>
      <c r="F28" s="100" t="s">
        <v>158</v>
      </c>
      <c r="G28" s="101">
        <v>46139601</v>
      </c>
      <c r="H28" s="103">
        <v>714899145</v>
      </c>
      <c r="I28" s="102"/>
      <c r="J28" s="113"/>
      <c r="K28" s="103"/>
      <c r="L28" s="103">
        <f t="shared" si="0"/>
        <v>714899145</v>
      </c>
      <c r="M28" s="118" t="s">
        <v>174</v>
      </c>
      <c r="N28" s="104">
        <v>38107</v>
      </c>
    </row>
    <row r="29" spans="1:14" ht="12.75" outlineLevel="2">
      <c r="A29" s="100">
        <v>264</v>
      </c>
      <c r="B29" s="100">
        <v>2732</v>
      </c>
      <c r="C29" s="89" t="s">
        <v>169</v>
      </c>
      <c r="D29" s="100" t="s">
        <v>8</v>
      </c>
      <c r="E29" s="99">
        <v>32503</v>
      </c>
      <c r="F29" s="100" t="s">
        <v>158</v>
      </c>
      <c r="G29" s="101">
        <v>1982233.13</v>
      </c>
      <c r="H29" s="103">
        <v>-203053151.87</v>
      </c>
      <c r="I29" s="102"/>
      <c r="J29" s="113"/>
      <c r="K29" s="103"/>
      <c r="L29" s="103">
        <f t="shared" si="0"/>
        <v>-203053151.87</v>
      </c>
      <c r="M29" s="103">
        <v>1151647674.36</v>
      </c>
      <c r="N29" s="104">
        <v>41562</v>
      </c>
    </row>
    <row r="30" spans="1:14" ht="12.75" outlineLevel="2">
      <c r="A30" s="100">
        <v>270</v>
      </c>
      <c r="B30" s="100">
        <v>2732</v>
      </c>
      <c r="C30" s="89" t="s">
        <v>169</v>
      </c>
      <c r="D30" s="100" t="s">
        <v>177</v>
      </c>
      <c r="E30" s="99">
        <v>32849</v>
      </c>
      <c r="F30" s="100" t="s">
        <v>158</v>
      </c>
      <c r="G30" s="101">
        <v>17478725</v>
      </c>
      <c r="H30" s="103">
        <v>-1658081263.61</v>
      </c>
      <c r="I30" s="102"/>
      <c r="J30" s="113"/>
      <c r="K30" s="103"/>
      <c r="L30" s="103">
        <f t="shared" si="0"/>
        <v>-1658081263.61</v>
      </c>
      <c r="M30" s="103">
        <v>9329137657.97</v>
      </c>
      <c r="N30" s="104">
        <v>39021</v>
      </c>
    </row>
    <row r="31" spans="1:14" ht="12.75" outlineLevel="2">
      <c r="A31" s="100">
        <v>278</v>
      </c>
      <c r="B31" s="100">
        <v>2732</v>
      </c>
      <c r="C31" s="89" t="s">
        <v>169</v>
      </c>
      <c r="D31" s="100" t="s">
        <v>6</v>
      </c>
      <c r="E31" s="99">
        <v>33309</v>
      </c>
      <c r="F31" s="100" t="s">
        <v>158</v>
      </c>
      <c r="G31" s="101">
        <v>116643295</v>
      </c>
      <c r="H31" s="103">
        <v>-20316137925.11</v>
      </c>
      <c r="I31" s="102"/>
      <c r="J31" s="113"/>
      <c r="K31" s="103"/>
      <c r="L31" s="103">
        <f t="shared" si="0"/>
        <v>-20316137925.11</v>
      </c>
      <c r="M31" s="103">
        <v>115205608416.07</v>
      </c>
      <c r="N31" s="104">
        <v>44135</v>
      </c>
    </row>
    <row r="32" spans="1:14" ht="12.75" outlineLevel="2">
      <c r="A32" s="100">
        <v>288</v>
      </c>
      <c r="B32" s="100">
        <v>2732</v>
      </c>
      <c r="C32" s="89" t="s">
        <v>169</v>
      </c>
      <c r="D32" s="218" t="s">
        <v>160</v>
      </c>
      <c r="E32" s="139">
        <v>34970</v>
      </c>
      <c r="F32" s="104" t="e">
        <f>VLOOKUP($A32,'[1]Feuil1'!$A$20:$O$79,6,0)</f>
        <v>#N/A</v>
      </c>
      <c r="G32" s="121">
        <v>17180000</v>
      </c>
      <c r="H32" s="103">
        <v>10158523943.58</v>
      </c>
      <c r="I32" s="102"/>
      <c r="J32" s="113"/>
      <c r="K32" s="103"/>
      <c r="L32" s="103">
        <f t="shared" si="0"/>
        <v>10158523943.58</v>
      </c>
      <c r="M32" s="103">
        <v>66951662600</v>
      </c>
      <c r="N32" s="104">
        <v>45641</v>
      </c>
    </row>
    <row r="33" spans="1:14" ht="12.75" outlineLevel="2">
      <c r="A33" s="100">
        <v>291</v>
      </c>
      <c r="B33" s="100">
        <v>2732</v>
      </c>
      <c r="C33" s="89" t="s">
        <v>169</v>
      </c>
      <c r="D33" s="100" t="s">
        <v>8</v>
      </c>
      <c r="E33" s="99">
        <v>35283</v>
      </c>
      <c r="F33" s="100" t="s">
        <v>141</v>
      </c>
      <c r="G33" s="101">
        <v>22000000</v>
      </c>
      <c r="H33" s="103">
        <v>-34536061846.71</v>
      </c>
      <c r="I33" s="140"/>
      <c r="J33" s="113"/>
      <c r="K33" s="141"/>
      <c r="L33" s="103">
        <f t="shared" si="0"/>
        <v>-34536061846.71</v>
      </c>
      <c r="M33" s="103">
        <v>138890696757.68</v>
      </c>
      <c r="N33" s="104">
        <v>44013</v>
      </c>
    </row>
    <row r="34" spans="1:14" ht="12.75" outlineLevel="2">
      <c r="A34" s="100">
        <v>294</v>
      </c>
      <c r="B34" s="100">
        <v>2732</v>
      </c>
      <c r="C34" s="89" t="s">
        <v>169</v>
      </c>
      <c r="D34" s="218" t="s">
        <v>178</v>
      </c>
      <c r="E34" s="139">
        <v>36336</v>
      </c>
      <c r="F34" s="104" t="e">
        <f>VLOOKUP($A34,'[1]Feuil1'!$A$20:$O$79,6,0)</f>
        <v>#N/A</v>
      </c>
      <c r="G34" s="142">
        <v>6600000</v>
      </c>
      <c r="H34" s="103">
        <v>-500688996.3</v>
      </c>
      <c r="I34" s="102"/>
      <c r="J34" s="113"/>
      <c r="K34" s="103"/>
      <c r="L34" s="103">
        <f t="shared" si="0"/>
        <v>-500688996.3</v>
      </c>
      <c r="M34" s="103">
        <v>36698305620</v>
      </c>
      <c r="N34" s="104">
        <v>42461</v>
      </c>
    </row>
    <row r="35" spans="1:14" ht="12.75" outlineLevel="2">
      <c r="A35" s="100">
        <v>296</v>
      </c>
      <c r="B35" s="100">
        <v>2732</v>
      </c>
      <c r="C35" s="89" t="s">
        <v>169</v>
      </c>
      <c r="D35" s="218" t="s">
        <v>210</v>
      </c>
      <c r="E35" s="139">
        <v>36404</v>
      </c>
      <c r="F35" s="104" t="e">
        <f>VLOOKUP($A35,'[1]Feuil1'!$A$20:$O$79,6,0)</f>
        <v>#N/A</v>
      </c>
      <c r="G35" s="142">
        <v>4000000</v>
      </c>
      <c r="H35" s="103">
        <v>-5331716252</v>
      </c>
      <c r="I35" s="102"/>
      <c r="J35" s="113"/>
      <c r="K35" s="103"/>
      <c r="L35" s="103">
        <f t="shared" si="0"/>
        <v>-5331716252</v>
      </c>
      <c r="M35" s="103">
        <v>30488000000</v>
      </c>
      <c r="N35" s="104">
        <v>43439</v>
      </c>
    </row>
    <row r="36" spans="1:16" ht="12.75" outlineLevel="2">
      <c r="A36" s="100">
        <v>297</v>
      </c>
      <c r="B36" s="100">
        <v>2732</v>
      </c>
      <c r="C36" s="89" t="s">
        <v>169</v>
      </c>
      <c r="D36" s="218" t="s">
        <v>210</v>
      </c>
      <c r="E36" s="139">
        <v>36404</v>
      </c>
      <c r="F36" s="104" t="e">
        <f>VLOOKUP($A36,'[1]Feuil1'!$A$20:$O$79,6,0)</f>
        <v>#N/A</v>
      </c>
      <c r="G36" s="142">
        <v>25000000</v>
      </c>
      <c r="H36" s="103">
        <v>22674038625</v>
      </c>
      <c r="I36" s="102"/>
      <c r="J36" s="113"/>
      <c r="K36" s="103"/>
      <c r="L36" s="103">
        <f t="shared" si="0"/>
        <v>22674038625</v>
      </c>
      <c r="M36" s="103">
        <v>190550000000</v>
      </c>
      <c r="N36" s="104">
        <v>43439</v>
      </c>
      <c r="P36" s="143"/>
    </row>
    <row r="37" spans="1:16" ht="12.75" outlineLevel="2">
      <c r="A37" s="100">
        <v>305</v>
      </c>
      <c r="B37" s="100">
        <v>2732</v>
      </c>
      <c r="C37" s="89" t="s">
        <v>169</v>
      </c>
      <c r="D37" s="218" t="s">
        <v>6</v>
      </c>
      <c r="E37" s="139">
        <v>36738</v>
      </c>
      <c r="F37" s="104" t="e">
        <f>VLOOKUP($A37,'[1]Feuil1'!$A$20:$O$79,6,0)</f>
        <v>#N/A</v>
      </c>
      <c r="G37" s="142">
        <v>3850000</v>
      </c>
      <c r="H37" s="103">
        <v>-4408337647.92</v>
      </c>
      <c r="I37" s="102"/>
      <c r="J37" s="113"/>
      <c r="K37" s="103"/>
      <c r="L37" s="103">
        <f t="shared" si="0"/>
        <v>-4408337647.92</v>
      </c>
      <c r="M37" s="103">
        <v>29344700000</v>
      </c>
      <c r="N37" s="144">
        <v>44104</v>
      </c>
      <c r="P37" s="143"/>
    </row>
    <row r="38" spans="1:16" ht="12.75" outlineLevel="2">
      <c r="A38" s="100">
        <v>306</v>
      </c>
      <c r="B38" s="100">
        <v>2732</v>
      </c>
      <c r="C38" s="89" t="s">
        <v>169</v>
      </c>
      <c r="D38" s="218" t="s">
        <v>6</v>
      </c>
      <c r="E38" s="139">
        <v>36738</v>
      </c>
      <c r="F38" s="104" t="e">
        <f>VLOOKUP($A38,'[1]Feuil1'!$A$20:$O$79,6,0)</f>
        <v>#N/A</v>
      </c>
      <c r="G38" s="142">
        <v>3850000</v>
      </c>
      <c r="H38" s="103">
        <v>2792130073.35</v>
      </c>
      <c r="I38" s="102"/>
      <c r="J38" s="113"/>
      <c r="K38" s="103"/>
      <c r="L38" s="103">
        <f t="shared" si="0"/>
        <v>2792130073.35</v>
      </c>
      <c r="M38" s="103">
        <v>29344700000</v>
      </c>
      <c r="N38" s="144">
        <v>44104</v>
      </c>
      <c r="P38" s="143"/>
    </row>
    <row r="39" spans="1:16" ht="12.75" outlineLevel="2">
      <c r="A39" s="100"/>
      <c r="B39" s="100">
        <v>2732</v>
      </c>
      <c r="C39" s="89" t="s">
        <v>169</v>
      </c>
      <c r="D39" s="100" t="s">
        <v>8</v>
      </c>
      <c r="E39" s="145">
        <v>32178</v>
      </c>
      <c r="F39" s="100" t="s">
        <v>141</v>
      </c>
      <c r="G39" s="121">
        <v>14200000</v>
      </c>
      <c r="H39" s="103">
        <v>8392747725.8</v>
      </c>
      <c r="I39" s="102"/>
      <c r="J39" s="101"/>
      <c r="K39" s="103"/>
      <c r="L39" s="103">
        <f t="shared" si="0"/>
        <v>8392747725.8</v>
      </c>
      <c r="M39" s="118">
        <v>43371751777.67</v>
      </c>
      <c r="N39" s="104">
        <v>40967</v>
      </c>
      <c r="P39" s="143"/>
    </row>
    <row r="40" spans="1:16" ht="12.75" outlineLevel="2">
      <c r="A40" s="100">
        <v>320</v>
      </c>
      <c r="B40" s="100">
        <v>2732</v>
      </c>
      <c r="C40" s="89" t="s">
        <v>169</v>
      </c>
      <c r="D40" s="100" t="s">
        <v>8</v>
      </c>
      <c r="E40" s="145">
        <v>38958</v>
      </c>
      <c r="F40" s="100"/>
      <c r="G40" s="146">
        <f>6688021667.65+1254009362.22</f>
        <v>7942031030</v>
      </c>
      <c r="H40" s="103">
        <v>13598576514.45</v>
      </c>
      <c r="I40" s="103"/>
      <c r="J40" s="101"/>
      <c r="K40" s="207"/>
      <c r="L40" s="103">
        <f>+H40-I40+J40+K40</f>
        <v>13598576514.45</v>
      </c>
      <c r="M40" s="88"/>
      <c r="N40" s="147">
        <v>53387</v>
      </c>
      <c r="P40" s="143"/>
    </row>
    <row r="41" spans="1:16" ht="12.75" outlineLevel="2">
      <c r="A41" s="100">
        <v>321</v>
      </c>
      <c r="B41" s="100">
        <v>2732</v>
      </c>
      <c r="C41" s="89" t="s">
        <v>169</v>
      </c>
      <c r="D41" s="214" t="s">
        <v>179</v>
      </c>
      <c r="E41" s="145">
        <v>39125</v>
      </c>
      <c r="F41" s="100"/>
      <c r="G41" s="146">
        <v>2907808685</v>
      </c>
      <c r="H41" s="103">
        <v>6982922136.8</v>
      </c>
      <c r="I41" s="196">
        <f>652273572+694008060</f>
        <v>1346281632</v>
      </c>
      <c r="J41" s="101"/>
      <c r="K41" s="208"/>
      <c r="L41" s="103">
        <f>+H41-I41+J41+K41</f>
        <v>5636640504.8</v>
      </c>
      <c r="M41" s="88"/>
      <c r="N41" s="148">
        <v>45853</v>
      </c>
      <c r="P41" s="143"/>
    </row>
    <row r="42" spans="1:16" ht="12.75" outlineLevel="2">
      <c r="A42" s="100">
        <v>322</v>
      </c>
      <c r="B42" s="100">
        <v>2732</v>
      </c>
      <c r="C42" s="89" t="s">
        <v>169</v>
      </c>
      <c r="D42" s="215" t="s">
        <v>9</v>
      </c>
      <c r="E42" s="148">
        <v>38908</v>
      </c>
      <c r="F42" s="100"/>
      <c r="G42" s="121"/>
      <c r="H42" s="103">
        <v>15128234799.05</v>
      </c>
      <c r="I42" s="102">
        <v>906485900</v>
      </c>
      <c r="J42" s="209"/>
      <c r="K42" s="208"/>
      <c r="L42" s="103">
        <f>+H42-I42+J42+K42</f>
        <v>14221748899.05</v>
      </c>
      <c r="M42" s="88"/>
      <c r="N42" s="148">
        <v>48274</v>
      </c>
      <c r="P42" s="143"/>
    </row>
    <row r="43" spans="1:16" ht="12.75" outlineLevel="2">
      <c r="A43" s="100">
        <v>323</v>
      </c>
      <c r="B43" s="100">
        <v>2732</v>
      </c>
      <c r="C43" s="89" t="s">
        <v>169</v>
      </c>
      <c r="D43" s="214" t="s">
        <v>178</v>
      </c>
      <c r="E43" s="145">
        <v>38702</v>
      </c>
      <c r="F43" s="100"/>
      <c r="G43" s="146">
        <v>2901205621</v>
      </c>
      <c r="H43" s="103">
        <v>11492739532.53</v>
      </c>
      <c r="I43" s="103"/>
      <c r="J43" s="101"/>
      <c r="K43" s="103"/>
      <c r="L43" s="103">
        <f>+H43-I43+J43+K43</f>
        <v>11492739532.53</v>
      </c>
      <c r="M43" s="88"/>
      <c r="N43" s="149"/>
      <c r="P43" s="143"/>
    </row>
    <row r="44" spans="1:16" ht="12.75" outlineLevel="2">
      <c r="A44" s="100">
        <v>324</v>
      </c>
      <c r="B44" s="100">
        <v>2732</v>
      </c>
      <c r="C44" s="105" t="s">
        <v>169</v>
      </c>
      <c r="D44" s="214" t="s">
        <v>178</v>
      </c>
      <c r="E44" s="202">
        <v>37999</v>
      </c>
      <c r="F44" s="106"/>
      <c r="G44" s="203">
        <v>677764420</v>
      </c>
      <c r="H44" s="107">
        <v>8130722041.83</v>
      </c>
      <c r="I44" s="107">
        <v>340154070</v>
      </c>
      <c r="J44" s="195"/>
      <c r="K44" s="107"/>
      <c r="L44" s="107">
        <f>+H44-I44+J44+K44</f>
        <v>7790567971.83</v>
      </c>
      <c r="M44" s="88"/>
      <c r="N44" s="148">
        <v>48122</v>
      </c>
      <c r="P44" s="143"/>
    </row>
    <row r="45" spans="1:16" s="128" customFormat="1" ht="15.75" outlineLevel="1">
      <c r="A45" s="197"/>
      <c r="B45" s="197"/>
      <c r="C45" s="205" t="s">
        <v>206</v>
      </c>
      <c r="D45" s="199"/>
      <c r="E45" s="204"/>
      <c r="F45" s="125"/>
      <c r="G45" s="201"/>
      <c r="H45" s="126">
        <f>SUM(H11:H44)</f>
        <v>46164421184.48</v>
      </c>
      <c r="I45" s="126">
        <f>SUM(I11:I44)</f>
        <v>4301304603.43</v>
      </c>
      <c r="J45" s="126">
        <f>SUM(J11:J44)</f>
        <v>0</v>
      </c>
      <c r="K45" s="126">
        <f>SUM(K11:K44)</f>
        <v>0</v>
      </c>
      <c r="L45" s="126">
        <f>SUM(L11:L44)</f>
        <v>41863116581.05</v>
      </c>
      <c r="M45" s="151" t="e">
        <f>+#REF!-#REF!</f>
        <v>#REF!</v>
      </c>
      <c r="N45" s="152"/>
      <c r="P45" s="153"/>
    </row>
    <row r="46" spans="1:16" ht="12.75">
      <c r="A46" s="156"/>
      <c r="B46" s="197"/>
      <c r="C46" s="154"/>
      <c r="D46" s="154"/>
      <c r="E46" s="155"/>
      <c r="F46" s="156"/>
      <c r="G46" s="157"/>
      <c r="J46" s="94"/>
      <c r="M46" s="150"/>
      <c r="N46" s="158"/>
      <c r="P46" s="143"/>
    </row>
    <row r="47" spans="3:12" ht="12.75">
      <c r="C47" s="159"/>
      <c r="J47" s="143"/>
      <c r="L47" s="143"/>
    </row>
  </sheetData>
  <sheetProtection/>
  <mergeCells count="2">
    <mergeCell ref="A2:N2"/>
    <mergeCell ref="A4:N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8" r:id="rId1"/>
  <headerFooter alignWithMargins="0">
    <oddHeader>&amp;RPage 29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I24"/>
  <sheetViews>
    <sheetView zoomScale="93" zoomScaleNormal="93" zoomScalePageLayoutView="0" workbookViewId="0" topLeftCell="A1">
      <selection activeCell="G5" sqref="G5"/>
    </sheetView>
  </sheetViews>
  <sheetFormatPr defaultColWidth="11.421875" defaultRowHeight="12.75" outlineLevelRow="2"/>
  <cols>
    <col min="1" max="1" width="9.140625" style="238" customWidth="1"/>
    <col min="2" max="2" width="26.8515625" style="161" customWidth="1"/>
    <col min="3" max="3" width="13.57421875" style="163" customWidth="1"/>
    <col min="4" max="4" width="24.00390625" style="162" bestFit="1" customWidth="1"/>
    <col min="5" max="5" width="22.57421875" style="160" bestFit="1" customWidth="1"/>
    <col min="6" max="7" width="22.7109375" style="164" bestFit="1" customWidth="1"/>
    <col min="8" max="8" width="24.00390625" style="164" bestFit="1" customWidth="1"/>
    <col min="9" max="9" width="15.7109375" style="161" bestFit="1" customWidth="1"/>
    <col min="10" max="251" width="11.421875" style="161" customWidth="1"/>
    <col min="252" max="252" width="6.8515625" style="161" customWidth="1"/>
    <col min="253" max="253" width="9.140625" style="161" customWidth="1"/>
    <col min="254" max="254" width="23.28125" style="161" customWidth="1"/>
    <col min="255" max="255" width="13.57421875" style="161" customWidth="1"/>
    <col min="256" max="16384" width="19.00390625" style="161" customWidth="1"/>
  </cols>
  <sheetData>
    <row r="1" spans="1:8" s="227" customFormat="1" ht="19.5">
      <c r="A1" s="262" t="s">
        <v>194</v>
      </c>
      <c r="B1" s="262"/>
      <c r="C1" s="262"/>
      <c r="D1" s="262"/>
      <c r="E1" s="262"/>
      <c r="F1" s="262"/>
      <c r="G1" s="262"/>
      <c r="H1" s="262"/>
    </row>
    <row r="2" spans="1:8" s="227" customFormat="1" ht="19.5">
      <c r="A2" s="226"/>
      <c r="B2" s="226"/>
      <c r="C2" s="226"/>
      <c r="D2" s="226"/>
      <c r="E2" s="226"/>
      <c r="F2" s="226"/>
      <c r="G2" s="226"/>
      <c r="H2" s="226"/>
    </row>
    <row r="3" spans="1:8" s="227" customFormat="1" ht="19.5">
      <c r="A3" s="226"/>
      <c r="B3" s="226"/>
      <c r="C3" s="226"/>
      <c r="D3" s="226"/>
      <c r="E3" s="226"/>
      <c r="F3" s="226"/>
      <c r="G3" s="226"/>
      <c r="H3" s="226"/>
    </row>
    <row r="4" ht="23.25">
      <c r="A4" s="225"/>
    </row>
    <row r="5" spans="1:8" s="224" customFormat="1" ht="30.75" customHeight="1">
      <c r="A5" s="219" t="s">
        <v>144</v>
      </c>
      <c r="B5" s="239" t="s">
        <v>180</v>
      </c>
      <c r="C5" s="220" t="s">
        <v>1</v>
      </c>
      <c r="D5" s="221" t="s">
        <v>182</v>
      </c>
      <c r="E5" s="222" t="s">
        <v>192</v>
      </c>
      <c r="F5" s="222" t="s">
        <v>181</v>
      </c>
      <c r="G5" s="222" t="s">
        <v>149</v>
      </c>
      <c r="H5" s="223" t="s">
        <v>193</v>
      </c>
    </row>
    <row r="6" spans="1:8" s="224" customFormat="1" ht="18.75" customHeight="1">
      <c r="A6" s="245"/>
      <c r="B6" s="229" t="s">
        <v>211</v>
      </c>
      <c r="C6" s="228"/>
      <c r="D6" s="230"/>
      <c r="E6" s="230"/>
      <c r="F6" s="230"/>
      <c r="G6" s="230"/>
      <c r="H6" s="246"/>
    </row>
    <row r="7" spans="1:8" ht="15">
      <c r="A7" s="240">
        <v>227</v>
      </c>
      <c r="B7" s="231" t="s">
        <v>183</v>
      </c>
      <c r="C7" s="232"/>
      <c r="D7" s="236">
        <v>798959.6</v>
      </c>
      <c r="E7" s="236">
        <v>798958.8</v>
      </c>
      <c r="F7" s="236">
        <f>798958.8+798959.6</f>
        <v>1597918.4</v>
      </c>
      <c r="G7" s="236"/>
      <c r="H7" s="236">
        <f>+D7+E7-F7</f>
        <v>0</v>
      </c>
    </row>
    <row r="8" spans="1:9" ht="15">
      <c r="A8" s="240">
        <v>317</v>
      </c>
      <c r="B8" s="233" t="s">
        <v>155</v>
      </c>
      <c r="C8" s="232"/>
      <c r="D8" s="236">
        <v>926473376.06</v>
      </c>
      <c r="E8" s="236">
        <f>2*140000000</f>
        <v>280000000</v>
      </c>
      <c r="F8" s="236">
        <v>75000000</v>
      </c>
      <c r="G8" s="236"/>
      <c r="H8" s="236">
        <f>+D8+E8-F8</f>
        <v>1131473376.06</v>
      </c>
      <c r="I8" s="162"/>
    </row>
    <row r="9" spans="1:9" s="250" customFormat="1" ht="15.75">
      <c r="A9" s="243"/>
      <c r="B9" s="242" t="s">
        <v>184</v>
      </c>
      <c r="C9" s="244"/>
      <c r="D9" s="248">
        <f>+D8+D7</f>
        <v>927272335.66</v>
      </c>
      <c r="E9" s="248">
        <f>+E8+E7</f>
        <v>280798958.8</v>
      </c>
      <c r="F9" s="248">
        <f>+F8+F7</f>
        <v>76597918.4</v>
      </c>
      <c r="G9" s="248">
        <f>+G8+G7</f>
        <v>0</v>
      </c>
      <c r="H9" s="248">
        <f>+H8+H7</f>
        <v>1131473376.06</v>
      </c>
      <c r="I9" s="249"/>
    </row>
    <row r="10" spans="1:9" ht="15.75" customHeight="1">
      <c r="A10" s="247"/>
      <c r="B10" s="229" t="s">
        <v>212</v>
      </c>
      <c r="C10" s="237"/>
      <c r="D10" s="230"/>
      <c r="E10" s="230"/>
      <c r="F10" s="230"/>
      <c r="G10" s="230"/>
      <c r="H10" s="246"/>
      <c r="I10" s="162"/>
    </row>
    <row r="11" spans="1:8" ht="15">
      <c r="A11" s="240">
        <v>276</v>
      </c>
      <c r="B11" s="231" t="s">
        <v>156</v>
      </c>
      <c r="C11" s="232"/>
      <c r="D11" s="236">
        <v>235947616.28</v>
      </c>
      <c r="E11" s="236">
        <f>259426560.12+243252594.23</f>
        <v>502679154.35</v>
      </c>
      <c r="F11" s="236"/>
      <c r="G11" s="236"/>
      <c r="H11" s="236">
        <f aca="true" t="shared" si="0" ref="H11:H23">+D11+E11-F11</f>
        <v>738626770.63</v>
      </c>
    </row>
    <row r="12" spans="1:8" ht="15" customHeight="1">
      <c r="A12" s="240">
        <v>279</v>
      </c>
      <c r="B12" s="233" t="s">
        <v>157</v>
      </c>
      <c r="C12" s="235">
        <v>33366</v>
      </c>
      <c r="D12" s="236">
        <v>0</v>
      </c>
      <c r="E12" s="236"/>
      <c r="F12" s="236"/>
      <c r="G12" s="236"/>
      <c r="H12" s="236">
        <f t="shared" si="0"/>
        <v>0</v>
      </c>
    </row>
    <row r="13" spans="1:8" ht="15" hidden="1">
      <c r="A13" s="240"/>
      <c r="B13" s="233"/>
      <c r="C13" s="235"/>
      <c r="D13" s="236"/>
      <c r="E13" s="236"/>
      <c r="F13" s="236"/>
      <c r="G13" s="236"/>
      <c r="H13" s="236">
        <f t="shared" si="0"/>
        <v>0</v>
      </c>
    </row>
    <row r="14" spans="1:8" s="82" customFormat="1" ht="15" outlineLevel="2">
      <c r="A14" s="241">
        <v>293</v>
      </c>
      <c r="B14" s="234" t="s">
        <v>159</v>
      </c>
      <c r="C14" s="235">
        <v>35956</v>
      </c>
      <c r="D14" s="236">
        <v>309605102.57</v>
      </c>
      <c r="E14" s="236"/>
      <c r="F14" s="236"/>
      <c r="G14" s="236">
        <f>D14</f>
        <v>309605102.57</v>
      </c>
      <c r="H14" s="236">
        <f>+D14+E14-F14-G14</f>
        <v>0</v>
      </c>
    </row>
    <row r="15" spans="1:8" ht="15">
      <c r="A15" s="240">
        <v>311</v>
      </c>
      <c r="B15" s="231" t="s">
        <v>164</v>
      </c>
      <c r="C15" s="235">
        <v>37356</v>
      </c>
      <c r="D15" s="236">
        <v>0</v>
      </c>
      <c r="E15" s="236">
        <f>43716600+43448400</f>
        <v>87165000</v>
      </c>
      <c r="F15" s="236">
        <f>43716600+43448400</f>
        <v>87165000</v>
      </c>
      <c r="G15" s="236"/>
      <c r="H15" s="236">
        <f t="shared" si="0"/>
        <v>0</v>
      </c>
    </row>
    <row r="16" spans="1:8" ht="15">
      <c r="A16" s="240">
        <v>255</v>
      </c>
      <c r="B16" s="233" t="s">
        <v>185</v>
      </c>
      <c r="C16" s="235">
        <v>32350</v>
      </c>
      <c r="D16" s="236">
        <v>248346944.72</v>
      </c>
      <c r="E16" s="236"/>
      <c r="F16" s="236">
        <f>8000000*2+232346944.72</f>
        <v>248346944.72</v>
      </c>
      <c r="G16" s="236"/>
      <c r="H16" s="236">
        <f t="shared" si="0"/>
        <v>0</v>
      </c>
    </row>
    <row r="17" spans="1:8" ht="15">
      <c r="A17" s="240">
        <v>307</v>
      </c>
      <c r="B17" s="231" t="s">
        <v>162</v>
      </c>
      <c r="C17" s="235">
        <v>32982</v>
      </c>
      <c r="D17" s="236">
        <v>733481885.4</v>
      </c>
      <c r="E17" s="236"/>
      <c r="F17" s="236"/>
      <c r="G17" s="236">
        <f>D17</f>
        <v>733481885.4</v>
      </c>
      <c r="H17" s="236">
        <f>+D17+E17-F17-G17</f>
        <v>0</v>
      </c>
    </row>
    <row r="18" spans="1:8" ht="15">
      <c r="A18" s="240">
        <v>312</v>
      </c>
      <c r="B18" s="233" t="s">
        <v>166</v>
      </c>
      <c r="C18" s="235">
        <v>37272</v>
      </c>
      <c r="D18" s="236">
        <v>0</v>
      </c>
      <c r="E18" s="236">
        <f>4564000+4536000</f>
        <v>9100000</v>
      </c>
      <c r="F18" s="236">
        <f>4564000+4536000</f>
        <v>9100000</v>
      </c>
      <c r="G18" s="236"/>
      <c r="H18" s="236">
        <f t="shared" si="0"/>
        <v>0</v>
      </c>
    </row>
    <row r="19" spans="1:8" ht="15">
      <c r="A19" s="240">
        <v>315</v>
      </c>
      <c r="B19" s="233" t="s">
        <v>186</v>
      </c>
      <c r="C19" s="235">
        <v>39444</v>
      </c>
      <c r="D19" s="236">
        <v>0</v>
      </c>
      <c r="E19" s="236">
        <f>2*18204597.11</f>
        <v>36409194.22</v>
      </c>
      <c r="F19" s="236">
        <f>2*18204597.11</f>
        <v>36409194.22</v>
      </c>
      <c r="G19" s="236"/>
      <c r="H19" s="236">
        <f t="shared" si="0"/>
        <v>0</v>
      </c>
    </row>
    <row r="20" spans="1:9" ht="15">
      <c r="A20" s="240">
        <v>321</v>
      </c>
      <c r="B20" s="231" t="s">
        <v>169</v>
      </c>
      <c r="C20" s="235">
        <v>39125</v>
      </c>
      <c r="D20" s="236">
        <v>5025912756</v>
      </c>
      <c r="E20" s="236">
        <f>652273572+694008060</f>
        <v>1346281632</v>
      </c>
      <c r="F20" s="236">
        <f>3*100000000+700000000+100000000+100000000+100000000+100000000+100000000</f>
        <v>1500000000</v>
      </c>
      <c r="G20" s="236"/>
      <c r="H20" s="236">
        <f t="shared" si="0"/>
        <v>4872194388</v>
      </c>
      <c r="I20" s="162"/>
    </row>
    <row r="21" spans="1:9" ht="15">
      <c r="A21" s="240">
        <v>322</v>
      </c>
      <c r="B21" s="231" t="s">
        <v>169</v>
      </c>
      <c r="C21" s="235">
        <v>38908</v>
      </c>
      <c r="D21" s="236">
        <v>6265949250</v>
      </c>
      <c r="E21" s="236">
        <v>906485900</v>
      </c>
      <c r="F21" s="236"/>
      <c r="G21" s="236"/>
      <c r="H21" s="236">
        <f t="shared" si="0"/>
        <v>7172435150</v>
      </c>
      <c r="I21" s="162"/>
    </row>
    <row r="22" spans="1:8" s="82" customFormat="1" ht="15" outlineLevel="2">
      <c r="A22" s="241">
        <v>324</v>
      </c>
      <c r="B22" s="234" t="s">
        <v>169</v>
      </c>
      <c r="C22" s="235">
        <v>37999</v>
      </c>
      <c r="D22" s="236">
        <v>2816621780</v>
      </c>
      <c r="E22" s="236">
        <v>340154070</v>
      </c>
      <c r="F22" s="236"/>
      <c r="G22" s="236"/>
      <c r="H22" s="236">
        <f t="shared" si="0"/>
        <v>3156775850</v>
      </c>
    </row>
    <row r="23" spans="1:8" s="82" customFormat="1" ht="15" outlineLevel="2">
      <c r="A23" s="241"/>
      <c r="B23" s="234" t="s">
        <v>168</v>
      </c>
      <c r="C23" s="235">
        <v>41638</v>
      </c>
      <c r="D23" s="236">
        <v>266619287.64</v>
      </c>
      <c r="E23" s="236"/>
      <c r="F23" s="236">
        <v>20000000</v>
      </c>
      <c r="G23" s="236"/>
      <c r="H23" s="236">
        <f t="shared" si="0"/>
        <v>246619287.64</v>
      </c>
    </row>
    <row r="24" spans="1:9" s="250" customFormat="1" ht="15.75">
      <c r="A24" s="243"/>
      <c r="B24" s="242" t="s">
        <v>187</v>
      </c>
      <c r="C24" s="251"/>
      <c r="D24" s="248">
        <f>SUM(D11:D23)</f>
        <v>15902484622.61</v>
      </c>
      <c r="E24" s="248">
        <f>SUM(E11:E$23)</f>
        <v>3228274950.57</v>
      </c>
      <c r="F24" s="248">
        <f>SUM(F11:F$23)</f>
        <v>1901021138.94</v>
      </c>
      <c r="G24" s="248">
        <f>SUM(G11:G$22)</f>
        <v>1043086987.97</v>
      </c>
      <c r="H24" s="248">
        <f>SUM(H11:H23)</f>
        <v>16186651446.27</v>
      </c>
      <c r="I24" s="249"/>
    </row>
    <row r="25" ht="15" customHeight="1"/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  <headerFooter alignWithMargins="0">
    <oddHeader>&amp;RPage 30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374"/>
  <sheetViews>
    <sheetView zoomScalePageLayoutView="0" workbookViewId="0" topLeftCell="A1">
      <selection activeCell="B84" sqref="B84"/>
    </sheetView>
  </sheetViews>
  <sheetFormatPr defaultColWidth="11.421875" defaultRowHeight="12.75"/>
  <cols>
    <col min="1" max="1" width="5.7109375" style="1" customWidth="1"/>
    <col min="2" max="2" width="54.28125" style="3" bestFit="1" customWidth="1"/>
    <col min="3" max="3" width="13.421875" style="3" customWidth="1"/>
    <col min="4" max="4" width="21.8515625" style="8" customWidth="1"/>
    <col min="5" max="5" width="25.00390625" style="5" customWidth="1"/>
    <col min="6" max="6" width="23.28125" style="4" customWidth="1"/>
    <col min="7" max="7" width="23.140625" style="3" customWidth="1"/>
    <col min="8" max="8" width="21.421875" style="3" customWidth="1"/>
    <col min="9" max="9" width="22.00390625" style="3" customWidth="1"/>
    <col min="10" max="16384" width="11.421875" style="3" customWidth="1"/>
  </cols>
  <sheetData>
    <row r="1" spans="2:4" ht="12.75">
      <c r="B1" s="2"/>
      <c r="D1" s="4"/>
    </row>
    <row r="2" spans="1:6" ht="12.75">
      <c r="A2" s="263" t="s">
        <v>188</v>
      </c>
      <c r="B2" s="263"/>
      <c r="C2" s="263"/>
      <c r="D2" s="263"/>
      <c r="E2" s="263"/>
      <c r="F2" s="263"/>
    </row>
    <row r="3" spans="1:6" ht="12.75">
      <c r="A3" s="166"/>
      <c r="B3" s="166"/>
      <c r="C3" s="166"/>
      <c r="D3" s="166"/>
      <c r="E3" s="166"/>
      <c r="F3" s="166"/>
    </row>
    <row r="4" spans="1:6" ht="12.75">
      <c r="A4" s="166"/>
      <c r="B4" s="63" t="s">
        <v>195</v>
      </c>
      <c r="C4" s="166"/>
      <c r="D4" s="166"/>
      <c r="E4" s="166"/>
      <c r="F4" s="166"/>
    </row>
    <row r="5" spans="1:6" ht="12.75">
      <c r="A5" s="6"/>
      <c r="B5" s="7"/>
      <c r="C5" s="7"/>
      <c r="E5" s="9"/>
      <c r="F5" s="8"/>
    </row>
    <row r="6" spans="1:6" ht="12.75">
      <c r="A6" s="264" t="s">
        <v>10</v>
      </c>
      <c r="B6" s="264" t="s">
        <v>11</v>
      </c>
      <c r="C6" s="264" t="s">
        <v>12</v>
      </c>
      <c r="D6" s="264" t="s">
        <v>13</v>
      </c>
      <c r="E6" s="10" t="s">
        <v>14</v>
      </c>
      <c r="F6" s="11"/>
    </row>
    <row r="7" spans="1:6" ht="12.75">
      <c r="A7" s="264"/>
      <c r="B7" s="264"/>
      <c r="C7" s="264"/>
      <c r="D7" s="264"/>
      <c r="E7" s="12" t="s">
        <v>15</v>
      </c>
      <c r="F7" s="11" t="s">
        <v>16</v>
      </c>
    </row>
    <row r="8" spans="1:6" ht="12.75">
      <c r="A8" s="13"/>
      <c r="B8" s="14"/>
      <c r="C8" s="14"/>
      <c r="D8" s="15"/>
      <c r="E8" s="16"/>
      <c r="F8" s="17"/>
    </row>
    <row r="9" spans="1:6" ht="12.75">
      <c r="A9" s="18"/>
      <c r="B9" s="19" t="s">
        <v>17</v>
      </c>
      <c r="C9" s="20"/>
      <c r="D9" s="15"/>
      <c r="E9" s="21"/>
      <c r="F9" s="15"/>
    </row>
    <row r="10" spans="1:6" ht="12.75">
      <c r="A10" s="18"/>
      <c r="B10" s="20" t="s">
        <v>18</v>
      </c>
      <c r="C10" s="20"/>
      <c r="D10" s="15"/>
      <c r="E10" s="21"/>
      <c r="F10" s="15"/>
    </row>
    <row r="11" spans="1:6" ht="23.25" customHeight="1">
      <c r="A11" s="18">
        <v>1</v>
      </c>
      <c r="B11" s="22" t="s">
        <v>19</v>
      </c>
      <c r="C11" s="20"/>
      <c r="D11" s="15"/>
      <c r="E11" s="21"/>
      <c r="F11" s="15"/>
    </row>
    <row r="12" spans="1:6" ht="15.75" customHeight="1">
      <c r="A12" s="18"/>
      <c r="B12" s="23" t="s">
        <v>20</v>
      </c>
      <c r="C12" s="24" t="s">
        <v>21</v>
      </c>
      <c r="D12" s="25">
        <v>12400000</v>
      </c>
      <c r="E12" s="167">
        <f>+F12/D12*100</f>
        <v>33.06</v>
      </c>
      <c r="F12" s="25">
        <v>4099440</v>
      </c>
    </row>
    <row r="13" spans="1:6" ht="10.5" customHeight="1">
      <c r="A13" s="18"/>
      <c r="B13" s="20" t="s">
        <v>22</v>
      </c>
      <c r="C13" s="20"/>
      <c r="D13" s="15"/>
      <c r="E13" s="21"/>
      <c r="F13" s="15"/>
    </row>
    <row r="14" spans="1:6" ht="10.5" customHeight="1">
      <c r="A14" s="18"/>
      <c r="B14" s="20"/>
      <c r="C14" s="20"/>
      <c r="D14" s="15"/>
      <c r="E14" s="21"/>
      <c r="F14" s="15"/>
    </row>
    <row r="15" spans="1:6" ht="12.75">
      <c r="A15" s="18">
        <f>+A11+1</f>
        <v>2</v>
      </c>
      <c r="B15" s="26" t="s">
        <v>23</v>
      </c>
      <c r="C15" s="24" t="s">
        <v>21</v>
      </c>
      <c r="D15" s="25">
        <v>3867440000</v>
      </c>
      <c r="E15" s="167">
        <f>+F15/D15*100</f>
        <v>4.76</v>
      </c>
      <c r="F15" s="25">
        <v>184160200</v>
      </c>
    </row>
    <row r="16" spans="1:6" ht="12.75">
      <c r="A16" s="18"/>
      <c r="B16" s="20" t="s">
        <v>24</v>
      </c>
      <c r="C16" s="20"/>
      <c r="D16" s="25"/>
      <c r="E16" s="167"/>
      <c r="F16" s="25"/>
    </row>
    <row r="17" spans="1:6" ht="12.75">
      <c r="A17" s="18"/>
      <c r="B17" s="20"/>
      <c r="C17" s="20"/>
      <c r="D17" s="25"/>
      <c r="E17" s="167"/>
      <c r="F17" s="25"/>
    </row>
    <row r="18" spans="1:6" ht="12.75">
      <c r="A18" s="18">
        <f>+A15+1</f>
        <v>3</v>
      </c>
      <c r="B18" s="26" t="s">
        <v>25</v>
      </c>
      <c r="C18" s="24" t="s">
        <v>21</v>
      </c>
      <c r="D18" s="25">
        <v>2161600000</v>
      </c>
      <c r="E18" s="167">
        <f>+F18/D18*100</f>
        <v>23.01</v>
      </c>
      <c r="F18" s="25">
        <v>497280000</v>
      </c>
    </row>
    <row r="19" spans="1:6" ht="12.75">
      <c r="A19" s="18"/>
      <c r="B19" s="20" t="s">
        <v>26</v>
      </c>
      <c r="C19" s="20"/>
      <c r="D19" s="25"/>
      <c r="E19" s="167"/>
      <c r="F19" s="25"/>
    </row>
    <row r="20" spans="1:6" ht="12.75">
      <c r="A20" s="18"/>
      <c r="B20" s="20"/>
      <c r="C20" s="20"/>
      <c r="D20" s="25"/>
      <c r="E20" s="167"/>
      <c r="F20" s="25"/>
    </row>
    <row r="21" spans="1:6" ht="12.75">
      <c r="A21" s="18">
        <f>+A18+1</f>
        <v>4</v>
      </c>
      <c r="B21" s="26" t="s">
        <v>27</v>
      </c>
      <c r="C21" s="24" t="s">
        <v>21</v>
      </c>
      <c r="D21" s="25">
        <v>87800000</v>
      </c>
      <c r="E21" s="167">
        <f>+F21/D21*100</f>
        <v>100</v>
      </c>
      <c r="F21" s="25">
        <v>87800000</v>
      </c>
    </row>
    <row r="22" spans="1:6" ht="12.75">
      <c r="A22" s="18"/>
      <c r="B22" s="20" t="s">
        <v>28</v>
      </c>
      <c r="C22" s="20"/>
      <c r="D22" s="25"/>
      <c r="E22" s="167"/>
      <c r="F22" s="25"/>
    </row>
    <row r="23" spans="1:6" ht="12.75">
      <c r="A23" s="18"/>
      <c r="B23" s="20"/>
      <c r="C23" s="20"/>
      <c r="D23" s="25"/>
      <c r="E23" s="167"/>
      <c r="F23" s="25"/>
    </row>
    <row r="24" spans="1:8" ht="12.75">
      <c r="A24" s="18">
        <f>+A21+1</f>
        <v>5</v>
      </c>
      <c r="B24" s="22" t="s">
        <v>29</v>
      </c>
      <c r="C24" s="24" t="s">
        <v>21</v>
      </c>
      <c r="D24" s="25">
        <v>11926800000</v>
      </c>
      <c r="E24" s="167">
        <f>+F24/D24*100</f>
        <v>10</v>
      </c>
      <c r="F24" s="25">
        <v>1192680000</v>
      </c>
      <c r="G24" s="168"/>
      <c r="H24" s="27"/>
    </row>
    <row r="25" spans="1:8" ht="12.75">
      <c r="A25" s="18"/>
      <c r="B25" s="29" t="s">
        <v>30</v>
      </c>
      <c r="C25" s="24"/>
      <c r="D25" s="25"/>
      <c r="E25" s="167"/>
      <c r="F25" s="25"/>
      <c r="G25" s="168"/>
      <c r="H25" s="27"/>
    </row>
    <row r="26" spans="1:8" ht="12.75">
      <c r="A26" s="18"/>
      <c r="B26" s="29"/>
      <c r="C26" s="24"/>
      <c r="D26" s="25"/>
      <c r="E26" s="167"/>
      <c r="F26" s="25"/>
      <c r="G26" s="168"/>
      <c r="H26" s="27"/>
    </row>
    <row r="27" spans="1:8" ht="12.75">
      <c r="A27" s="28">
        <f>+A24+1</f>
        <v>6</v>
      </c>
      <c r="B27" s="26" t="s">
        <v>31</v>
      </c>
      <c r="C27" s="24" t="s">
        <v>21</v>
      </c>
      <c r="D27" s="25">
        <v>1066142000</v>
      </c>
      <c r="E27" s="167">
        <f>+F27/D27*100</f>
        <v>1</v>
      </c>
      <c r="F27" s="25">
        <v>10649000</v>
      </c>
      <c r="G27" s="168"/>
      <c r="H27" s="27"/>
    </row>
    <row r="28" spans="1:8" ht="12.75">
      <c r="A28" s="18"/>
      <c r="B28" s="20" t="s">
        <v>26</v>
      </c>
      <c r="C28" s="20"/>
      <c r="D28" s="25"/>
      <c r="E28" s="167"/>
      <c r="F28" s="25"/>
      <c r="G28" s="168"/>
      <c r="H28" s="27"/>
    </row>
    <row r="29" spans="1:6" ht="12.75">
      <c r="A29" s="18"/>
      <c r="B29" s="19" t="s">
        <v>32</v>
      </c>
      <c r="C29" s="20"/>
      <c r="D29" s="25"/>
      <c r="E29" s="167"/>
      <c r="F29" s="25"/>
    </row>
    <row r="30" spans="1:6" ht="12.75">
      <c r="A30" s="18"/>
      <c r="B30" s="20" t="s">
        <v>33</v>
      </c>
      <c r="C30" s="20"/>
      <c r="D30" s="25"/>
      <c r="E30" s="167"/>
      <c r="F30" s="25"/>
    </row>
    <row r="31" spans="1:6" ht="12.75">
      <c r="A31" s="18"/>
      <c r="B31" s="19" t="s">
        <v>34</v>
      </c>
      <c r="C31" s="20"/>
      <c r="D31" s="25"/>
      <c r="E31" s="167"/>
      <c r="F31" s="25"/>
    </row>
    <row r="32" spans="1:6" ht="12.75">
      <c r="A32" s="18"/>
      <c r="B32" s="19"/>
      <c r="C32" s="20"/>
      <c r="D32" s="25"/>
      <c r="E32" s="167"/>
      <c r="F32" s="25"/>
    </row>
    <row r="33" spans="1:6" ht="12.75">
      <c r="A33" s="18">
        <f>+A27+1</f>
        <v>7</v>
      </c>
      <c r="B33" s="26" t="s">
        <v>35</v>
      </c>
      <c r="C33" s="24" t="s">
        <v>21</v>
      </c>
      <c r="D33" s="25">
        <v>4290000000</v>
      </c>
      <c r="E33" s="167">
        <f>+F33/D33*100</f>
        <v>11.21</v>
      </c>
      <c r="F33" s="25">
        <v>481116000</v>
      </c>
    </row>
    <row r="34" spans="1:6" ht="12.75">
      <c r="A34" s="18"/>
      <c r="B34" s="29" t="s">
        <v>36</v>
      </c>
      <c r="C34" s="20"/>
      <c r="D34" s="25"/>
      <c r="E34" s="167"/>
      <c r="F34" s="25"/>
    </row>
    <row r="35" spans="1:6" ht="12.75">
      <c r="A35" s="18"/>
      <c r="B35" s="29"/>
      <c r="C35" s="20"/>
      <c r="D35" s="25"/>
      <c r="E35" s="167"/>
      <c r="F35" s="25"/>
    </row>
    <row r="36" spans="1:6" ht="12.75">
      <c r="A36" s="18"/>
      <c r="B36" s="19" t="s">
        <v>37</v>
      </c>
      <c r="C36" s="24"/>
      <c r="D36" s="25"/>
      <c r="E36" s="167"/>
      <c r="F36" s="25"/>
    </row>
    <row r="37" spans="1:6" ht="12.75">
      <c r="A37" s="18"/>
      <c r="B37" s="20"/>
      <c r="C37" s="24"/>
      <c r="D37" s="25"/>
      <c r="E37" s="167"/>
      <c r="F37" s="25"/>
    </row>
    <row r="38" spans="1:6" ht="12.75">
      <c r="A38" s="18">
        <f>+A33+1</f>
        <v>8</v>
      </c>
      <c r="B38" s="26" t="s">
        <v>38</v>
      </c>
      <c r="C38" s="24" t="s">
        <v>21</v>
      </c>
      <c r="D38" s="25">
        <f>9374000000/5</f>
        <v>1874800000</v>
      </c>
      <c r="E38" s="167">
        <f>+F38/D38*100</f>
        <v>74.4</v>
      </c>
      <c r="F38" s="25">
        <v>1394800000</v>
      </c>
    </row>
    <row r="39" spans="1:6" ht="12.75">
      <c r="A39" s="18"/>
      <c r="B39" s="29" t="s">
        <v>39</v>
      </c>
      <c r="C39" s="24"/>
      <c r="D39" s="25"/>
      <c r="E39" s="167"/>
      <c r="F39" s="25"/>
    </row>
    <row r="40" spans="1:6" ht="12.75">
      <c r="A40" s="18"/>
      <c r="B40" s="20"/>
      <c r="C40" s="24"/>
      <c r="D40" s="25"/>
      <c r="E40" s="167"/>
      <c r="F40" s="25"/>
    </row>
    <row r="41" spans="1:6" ht="12.75">
      <c r="A41" s="18">
        <f>A38+1</f>
        <v>9</v>
      </c>
      <c r="B41" s="26" t="s">
        <v>40</v>
      </c>
      <c r="C41" s="24" t="s">
        <v>21</v>
      </c>
      <c r="D41" s="25">
        <v>100000000</v>
      </c>
      <c r="E41" s="167">
        <f>+F41/D41*100</f>
        <v>65</v>
      </c>
      <c r="F41" s="25">
        <v>65000000</v>
      </c>
    </row>
    <row r="42" spans="1:6" ht="12.75">
      <c r="A42" s="18"/>
      <c r="B42" s="29" t="s">
        <v>39</v>
      </c>
      <c r="C42" s="24"/>
      <c r="D42" s="25"/>
      <c r="E42" s="167"/>
      <c r="F42" s="25"/>
    </row>
    <row r="43" spans="1:6" ht="12.75">
      <c r="A43" s="18"/>
      <c r="B43" s="29"/>
      <c r="C43" s="24"/>
      <c r="D43" s="25"/>
      <c r="E43" s="167"/>
      <c r="F43" s="25"/>
    </row>
    <row r="44" spans="1:6" ht="12.75">
      <c r="A44" s="18"/>
      <c r="B44" s="19" t="s">
        <v>41</v>
      </c>
      <c r="C44" s="24"/>
      <c r="D44" s="25"/>
      <c r="E44" s="167"/>
      <c r="F44" s="25"/>
    </row>
    <row r="45" spans="1:6" ht="12.75">
      <c r="A45" s="18"/>
      <c r="B45" s="29"/>
      <c r="C45" s="24"/>
      <c r="D45" s="25"/>
      <c r="E45" s="167"/>
      <c r="F45" s="25"/>
    </row>
    <row r="46" spans="1:6" ht="12.75">
      <c r="A46" s="18">
        <f>+A41+1</f>
        <v>10</v>
      </c>
      <c r="B46" s="26" t="s">
        <v>42</v>
      </c>
      <c r="C46" s="24" t="s">
        <v>21</v>
      </c>
      <c r="D46" s="25">
        <v>3190000000</v>
      </c>
      <c r="E46" s="167">
        <f>+F46/D46*100</f>
        <v>79.41</v>
      </c>
      <c r="F46" s="25">
        <v>2533120000</v>
      </c>
    </row>
    <row r="47" spans="1:6" ht="12.75">
      <c r="A47" s="18"/>
      <c r="B47" s="29" t="s">
        <v>43</v>
      </c>
      <c r="C47" s="24"/>
      <c r="D47" s="25"/>
      <c r="E47" s="167"/>
      <c r="F47" s="25"/>
    </row>
    <row r="48" spans="1:6" ht="12.75">
      <c r="A48" s="18"/>
      <c r="B48" s="29"/>
      <c r="C48" s="24"/>
      <c r="D48" s="25"/>
      <c r="E48" s="167"/>
      <c r="F48" s="25"/>
    </row>
    <row r="49" spans="1:6" ht="12.75">
      <c r="A49" s="18"/>
      <c r="B49" s="19" t="s">
        <v>44</v>
      </c>
      <c r="C49" s="20"/>
      <c r="D49" s="25"/>
      <c r="E49" s="167"/>
      <c r="F49" s="25"/>
    </row>
    <row r="50" spans="1:6" ht="12.75">
      <c r="A50" s="18"/>
      <c r="B50" s="20"/>
      <c r="C50" s="20"/>
      <c r="D50" s="25"/>
      <c r="E50" s="167"/>
      <c r="F50" s="25"/>
    </row>
    <row r="51" spans="1:6" ht="12.75">
      <c r="A51" s="18">
        <f>A46+1</f>
        <v>11</v>
      </c>
      <c r="B51" s="173" t="s">
        <v>45</v>
      </c>
      <c r="C51" s="172" t="s">
        <v>21</v>
      </c>
      <c r="D51" s="25">
        <f>64755000000/5</f>
        <v>12951000000</v>
      </c>
      <c r="E51" s="167">
        <f>+F51/D51*100</f>
        <v>89.32</v>
      </c>
      <c r="F51" s="25">
        <v>11567500000</v>
      </c>
    </row>
    <row r="52" spans="1:6" ht="12.75">
      <c r="A52" s="18"/>
      <c r="B52" s="29"/>
      <c r="C52" s="20"/>
      <c r="D52" s="25"/>
      <c r="E52" s="167"/>
      <c r="F52" s="25"/>
    </row>
    <row r="53" spans="1:6" ht="12.75">
      <c r="A53" s="18"/>
      <c r="B53" s="19" t="s">
        <v>46</v>
      </c>
      <c r="C53" s="20"/>
      <c r="D53" s="25"/>
      <c r="E53" s="167"/>
      <c r="F53" s="25"/>
    </row>
    <row r="54" spans="1:6" ht="12.75">
      <c r="A54" s="18"/>
      <c r="B54" s="20"/>
      <c r="C54" s="20"/>
      <c r="D54" s="25"/>
      <c r="E54" s="167"/>
      <c r="F54" s="25"/>
    </row>
    <row r="55" spans="1:6" ht="12.75">
      <c r="A55" s="18">
        <f>+A51+1</f>
        <v>12</v>
      </c>
      <c r="B55" s="22" t="s">
        <v>47</v>
      </c>
      <c r="C55" s="20"/>
      <c r="D55" s="25"/>
      <c r="E55" s="167"/>
      <c r="F55" s="25"/>
    </row>
    <row r="56" spans="1:6" ht="12.75">
      <c r="A56" s="18"/>
      <c r="B56" s="23" t="s">
        <v>48</v>
      </c>
      <c r="C56" s="24" t="s">
        <v>49</v>
      </c>
      <c r="D56" s="25">
        <v>7849480000</v>
      </c>
      <c r="E56" s="167">
        <f>+F56/D56*100</f>
        <v>163.76</v>
      </c>
      <c r="F56" s="25">
        <f>5006192675.36+7848480000</f>
        <v>12854672675.36</v>
      </c>
    </row>
    <row r="57" spans="1:6" ht="12.75">
      <c r="A57" s="18"/>
      <c r="B57" s="29" t="s">
        <v>50</v>
      </c>
      <c r="C57" s="24"/>
      <c r="D57" s="25"/>
      <c r="E57" s="167"/>
      <c r="F57" s="25"/>
    </row>
    <row r="58" spans="1:6" ht="12.75">
      <c r="A58" s="18"/>
      <c r="B58" s="29"/>
      <c r="C58" s="24"/>
      <c r="D58" s="25"/>
      <c r="E58" s="167"/>
      <c r="F58" s="25"/>
    </row>
    <row r="59" spans="1:6" ht="12.75">
      <c r="A59" s="18"/>
      <c r="B59" s="29"/>
      <c r="C59" s="24"/>
      <c r="D59" s="25"/>
      <c r="E59" s="167"/>
      <c r="F59" s="25"/>
    </row>
    <row r="60" spans="1:6" ht="12.75">
      <c r="A60" s="18"/>
      <c r="B60" s="29"/>
      <c r="C60" s="24"/>
      <c r="D60" s="25"/>
      <c r="E60" s="167"/>
      <c r="F60" s="25"/>
    </row>
    <row r="61" spans="1:6" ht="12.75">
      <c r="A61" s="18"/>
      <c r="B61" s="19" t="s">
        <v>51</v>
      </c>
      <c r="C61" s="24"/>
      <c r="D61" s="25"/>
      <c r="E61" s="167"/>
      <c r="F61" s="25"/>
    </row>
    <row r="62" spans="1:6" ht="12.75">
      <c r="A62" s="18"/>
      <c r="B62" s="20"/>
      <c r="C62" s="24"/>
      <c r="D62" s="25"/>
      <c r="E62" s="167"/>
      <c r="F62" s="25"/>
    </row>
    <row r="63" spans="1:6" ht="12.75">
      <c r="A63" s="18">
        <f>+A55+1</f>
        <v>13</v>
      </c>
      <c r="B63" s="22" t="s">
        <v>52</v>
      </c>
      <c r="C63" s="24" t="s">
        <v>49</v>
      </c>
      <c r="D63" s="25">
        <v>16000000</v>
      </c>
      <c r="E63" s="167">
        <f>+F63/D63*100</f>
        <v>73</v>
      </c>
      <c r="F63" s="25">
        <v>11680000</v>
      </c>
    </row>
    <row r="64" spans="1:6" ht="12.75">
      <c r="A64" s="18"/>
      <c r="B64" s="23" t="s">
        <v>53</v>
      </c>
      <c r="C64" s="20"/>
      <c r="D64" s="25"/>
      <c r="E64" s="167"/>
      <c r="F64" s="25"/>
    </row>
    <row r="65" spans="1:6" ht="12.75">
      <c r="A65" s="18"/>
      <c r="B65" s="23"/>
      <c r="C65" s="20"/>
      <c r="D65" s="25"/>
      <c r="E65" s="167"/>
      <c r="F65" s="25"/>
    </row>
    <row r="66" spans="1:6" ht="12.75">
      <c r="A66" s="18"/>
      <c r="B66" s="19" t="s">
        <v>54</v>
      </c>
      <c r="C66" s="24"/>
      <c r="D66" s="25"/>
      <c r="E66" s="167"/>
      <c r="F66" s="25"/>
    </row>
    <row r="67" spans="1:6" ht="12.75">
      <c r="A67" s="18"/>
      <c r="B67" s="20"/>
      <c r="C67" s="24"/>
      <c r="D67" s="25"/>
      <c r="E67" s="167"/>
      <c r="F67" s="25"/>
    </row>
    <row r="68" spans="1:6" ht="12.75">
      <c r="A68" s="18">
        <f>+A63+1</f>
        <v>14</v>
      </c>
      <c r="B68" s="26" t="s">
        <v>55</v>
      </c>
      <c r="C68" s="24" t="s">
        <v>21</v>
      </c>
      <c r="D68" s="25">
        <v>118000000</v>
      </c>
      <c r="E68" s="167">
        <f>+F68/D68*100</f>
        <v>50</v>
      </c>
      <c r="F68" s="25">
        <v>59000000</v>
      </c>
    </row>
    <row r="69" spans="1:6" ht="12.75">
      <c r="A69" s="18"/>
      <c r="B69" s="26"/>
      <c r="C69" s="24"/>
      <c r="D69" s="25"/>
      <c r="E69" s="167"/>
      <c r="F69" s="25"/>
    </row>
    <row r="70" spans="1:6" ht="12.75">
      <c r="A70" s="18"/>
      <c r="B70" s="19" t="s">
        <v>56</v>
      </c>
      <c r="C70" s="24"/>
      <c r="D70" s="25"/>
      <c r="E70" s="167"/>
      <c r="F70" s="25"/>
    </row>
    <row r="71" spans="1:6" ht="12.75">
      <c r="A71" s="18"/>
      <c r="B71" s="22"/>
      <c r="C71" s="24"/>
      <c r="D71" s="25"/>
      <c r="E71" s="167"/>
      <c r="F71" s="25"/>
    </row>
    <row r="72" spans="1:6" ht="12.75">
      <c r="A72" s="18">
        <f>+A68+1</f>
        <v>15</v>
      </c>
      <c r="B72" s="22" t="s">
        <v>57</v>
      </c>
      <c r="C72" s="24" t="s">
        <v>21</v>
      </c>
      <c r="D72" s="25">
        <v>8800000000</v>
      </c>
      <c r="E72" s="167">
        <f>+F72/D72*100</f>
        <v>37.5</v>
      </c>
      <c r="F72" s="25">
        <v>3300000000</v>
      </c>
    </row>
    <row r="73" spans="1:6" ht="12.75">
      <c r="A73" s="18"/>
      <c r="B73" s="23" t="s">
        <v>58</v>
      </c>
      <c r="C73" s="24"/>
      <c r="D73" s="25"/>
      <c r="E73" s="167"/>
      <c r="F73" s="25"/>
    </row>
    <row r="74" spans="1:6" ht="12.75">
      <c r="A74" s="18"/>
      <c r="B74" s="23"/>
      <c r="C74" s="24"/>
      <c r="D74" s="25"/>
      <c r="E74" s="167"/>
      <c r="F74" s="25"/>
    </row>
    <row r="75" spans="1:6" ht="12.75">
      <c r="A75" s="18"/>
      <c r="B75" s="19" t="s">
        <v>59</v>
      </c>
      <c r="C75" s="24"/>
      <c r="D75" s="25"/>
      <c r="E75" s="167"/>
      <c r="F75" s="25"/>
    </row>
    <row r="76" spans="1:6" ht="12.75">
      <c r="A76" s="18"/>
      <c r="B76" s="20" t="s">
        <v>60</v>
      </c>
      <c r="C76" s="24"/>
      <c r="D76" s="25"/>
      <c r="E76" s="167"/>
      <c r="F76" s="25"/>
    </row>
    <row r="77" spans="1:6" ht="12.75">
      <c r="A77" s="18"/>
      <c r="B77" s="20"/>
      <c r="C77" s="24"/>
      <c r="D77" s="25"/>
      <c r="E77" s="167"/>
      <c r="F77" s="25"/>
    </row>
    <row r="78" spans="1:6" ht="12.75">
      <c r="A78" s="18"/>
      <c r="B78" s="72" t="s">
        <v>61</v>
      </c>
      <c r="C78" s="24"/>
      <c r="D78" s="25"/>
      <c r="E78" s="167"/>
      <c r="F78" s="25"/>
    </row>
    <row r="79" spans="1:6" ht="12.75">
      <c r="A79" s="18"/>
      <c r="B79" s="29"/>
      <c r="C79" s="24"/>
      <c r="D79" s="25"/>
      <c r="E79" s="167"/>
      <c r="F79" s="25"/>
    </row>
    <row r="80" spans="1:7" ht="12.75">
      <c r="A80" s="18">
        <f>+A72+1</f>
        <v>16</v>
      </c>
      <c r="B80" s="22" t="s">
        <v>62</v>
      </c>
      <c r="C80" s="24" t="s">
        <v>63</v>
      </c>
      <c r="D80" s="25"/>
      <c r="E80" s="167"/>
      <c r="F80" s="25">
        <f>10753610000+45549031944.93+26205790957.13+75176400918.83+170161680806.52</f>
        <v>327846514627.41</v>
      </c>
      <c r="G80" s="30"/>
    </row>
    <row r="81" spans="1:7" ht="12.75">
      <c r="A81" s="18"/>
      <c r="B81" s="22"/>
      <c r="C81" s="32"/>
      <c r="D81" s="25"/>
      <c r="E81" s="167"/>
      <c r="F81" s="25"/>
      <c r="G81" s="30"/>
    </row>
    <row r="82" spans="1:6" s="33" customFormat="1" ht="12.75" customHeight="1">
      <c r="A82" s="257"/>
      <c r="B82" s="72" t="s">
        <v>64</v>
      </c>
      <c r="D82" s="25"/>
      <c r="E82" s="167"/>
      <c r="F82" s="25"/>
    </row>
    <row r="83" spans="1:6" s="33" customFormat="1" ht="12.75" customHeight="1">
      <c r="A83" s="257"/>
      <c r="B83" s="22"/>
      <c r="D83" s="25"/>
      <c r="E83" s="167"/>
      <c r="F83" s="25"/>
    </row>
    <row r="84" spans="1:6" s="33" customFormat="1" ht="16.5" customHeight="1">
      <c r="A84" s="257">
        <f>+A80+1</f>
        <v>17</v>
      </c>
      <c r="B84" s="174" t="s">
        <v>196</v>
      </c>
      <c r="D84" s="25">
        <f>25516000000/5</f>
        <v>5103200000</v>
      </c>
      <c r="E84" s="167">
        <f>+F84/D84*100</f>
        <v>30</v>
      </c>
      <c r="F84" s="25">
        <v>1530960000</v>
      </c>
    </row>
    <row r="85" spans="1:6" s="33" customFormat="1" ht="16.5" customHeight="1">
      <c r="A85" s="257"/>
      <c r="B85" s="22"/>
      <c r="D85" s="25"/>
      <c r="E85" s="167"/>
      <c r="F85" s="25"/>
    </row>
    <row r="86" spans="1:6" s="33" customFormat="1" ht="16.5" customHeight="1">
      <c r="A86" s="258">
        <f>+A84+1</f>
        <v>18</v>
      </c>
      <c r="B86" s="22" t="s">
        <v>65</v>
      </c>
      <c r="D86" s="25">
        <v>3000000000</v>
      </c>
      <c r="E86" s="167">
        <f>+F86/D86*100</f>
        <v>20</v>
      </c>
      <c r="F86" s="25">
        <v>600000000</v>
      </c>
    </row>
    <row r="87" spans="1:6" s="33" customFormat="1" ht="16.5" customHeight="1">
      <c r="A87" s="258"/>
      <c r="B87" s="22"/>
      <c r="D87" s="25"/>
      <c r="E87" s="167"/>
      <c r="F87" s="25"/>
    </row>
    <row r="88" spans="1:6" s="33" customFormat="1" ht="16.5" customHeight="1">
      <c r="A88" s="258">
        <f>+A86+1</f>
        <v>19</v>
      </c>
      <c r="B88" s="22" t="s">
        <v>66</v>
      </c>
      <c r="D88" s="25">
        <v>7888760000</v>
      </c>
      <c r="E88" s="167">
        <f>+F88/D88*100</f>
        <v>10</v>
      </c>
      <c r="F88" s="25">
        <v>788876000</v>
      </c>
    </row>
    <row r="89" spans="1:6" s="33" customFormat="1" ht="16.5" customHeight="1">
      <c r="A89" s="258"/>
      <c r="B89" s="22"/>
      <c r="D89" s="25"/>
      <c r="E89" s="167"/>
      <c r="F89" s="25"/>
    </row>
    <row r="90" spans="1:6" s="33" customFormat="1" ht="16.5" customHeight="1">
      <c r="A90" s="258">
        <f>+A88+1</f>
        <v>20</v>
      </c>
      <c r="B90" s="22" t="s">
        <v>67</v>
      </c>
      <c r="D90" s="25">
        <v>19889380000</v>
      </c>
      <c r="E90" s="167">
        <f>+F90/D90*100</f>
        <v>31</v>
      </c>
      <c r="F90" s="25">
        <v>6165700000</v>
      </c>
    </row>
    <row r="91" spans="1:6" s="33" customFormat="1" ht="16.5" customHeight="1">
      <c r="A91" s="258"/>
      <c r="B91" s="22"/>
      <c r="D91" s="25"/>
      <c r="E91" s="167"/>
      <c r="F91" s="25"/>
    </row>
    <row r="92" spans="1:6" s="34" customFormat="1" ht="16.5" customHeight="1">
      <c r="A92" s="258">
        <f>+A90+1</f>
        <v>21</v>
      </c>
      <c r="B92" s="22" t="s">
        <v>68</v>
      </c>
      <c r="D92" s="25">
        <v>14956152000</v>
      </c>
      <c r="E92" s="167">
        <f>+F92/D92*100</f>
        <v>20.56</v>
      </c>
      <c r="F92" s="25">
        <v>3075648000</v>
      </c>
    </row>
    <row r="93" spans="1:6" s="34" customFormat="1" ht="16.5" customHeight="1">
      <c r="A93" s="258"/>
      <c r="B93" s="22"/>
      <c r="D93" s="25"/>
      <c r="E93" s="167"/>
      <c r="F93" s="25"/>
    </row>
    <row r="94" spans="1:6" s="33" customFormat="1" ht="15.75" customHeight="1">
      <c r="A94" s="258">
        <f>+A92+1</f>
        <v>22</v>
      </c>
      <c r="B94" s="22" t="s">
        <v>69</v>
      </c>
      <c r="D94" s="25">
        <v>3600000000</v>
      </c>
      <c r="E94" s="167">
        <f>+F94/D94*100</f>
        <v>20</v>
      </c>
      <c r="F94" s="25">
        <v>720000000</v>
      </c>
    </row>
    <row r="95" spans="1:7" ht="12.75">
      <c r="A95" s="18"/>
      <c r="B95" s="22"/>
      <c r="C95" s="24"/>
      <c r="D95" s="25"/>
      <c r="E95" s="167"/>
      <c r="F95" s="25"/>
      <c r="G95" s="30"/>
    </row>
    <row r="96" spans="1:6" ht="12.75">
      <c r="A96" s="18"/>
      <c r="B96" s="19" t="s">
        <v>70</v>
      </c>
      <c r="C96" s="24"/>
      <c r="D96" s="25"/>
      <c r="E96" s="167"/>
      <c r="F96" s="25"/>
    </row>
    <row r="97" spans="1:6" ht="12.75">
      <c r="A97" s="18"/>
      <c r="B97" s="20" t="s">
        <v>71</v>
      </c>
      <c r="C97" s="24"/>
      <c r="D97" s="25"/>
      <c r="E97" s="167"/>
      <c r="F97" s="25"/>
    </row>
    <row r="98" spans="1:6" ht="12.75">
      <c r="A98" s="18"/>
      <c r="B98" s="20"/>
      <c r="C98" s="24"/>
      <c r="D98" s="25"/>
      <c r="E98" s="167"/>
      <c r="F98" s="25"/>
    </row>
    <row r="99" spans="1:6" ht="12.75">
      <c r="A99" s="18">
        <f>+A94+1</f>
        <v>23</v>
      </c>
      <c r="B99" s="26" t="s">
        <v>72</v>
      </c>
      <c r="C99" s="24" t="s">
        <v>63</v>
      </c>
      <c r="D99" s="25">
        <v>3231560000</v>
      </c>
      <c r="E99" s="167">
        <f>+F99/D99*100</f>
        <v>100</v>
      </c>
      <c r="F99" s="25">
        <v>3231560000</v>
      </c>
    </row>
    <row r="100" spans="1:6" ht="12.75">
      <c r="A100" s="18"/>
      <c r="B100" s="29" t="s">
        <v>73</v>
      </c>
      <c r="C100" s="24"/>
      <c r="D100" s="25"/>
      <c r="E100" s="167"/>
      <c r="F100" s="25"/>
    </row>
    <row r="101" spans="1:6" ht="12.75">
      <c r="A101" s="18"/>
      <c r="B101" s="20"/>
      <c r="C101" s="24"/>
      <c r="D101" s="25"/>
      <c r="E101" s="167"/>
      <c r="F101" s="25"/>
    </row>
    <row r="102" spans="1:8" ht="12.75">
      <c r="A102" s="18">
        <f>A99+1</f>
        <v>24</v>
      </c>
      <c r="B102" s="26" t="s">
        <v>74</v>
      </c>
      <c r="C102" s="24" t="s">
        <v>21</v>
      </c>
      <c r="D102" s="25">
        <v>1700000000</v>
      </c>
      <c r="E102" s="167">
        <f>+F102/D102*100</f>
        <v>0.41</v>
      </c>
      <c r="F102" s="25">
        <v>7018992</v>
      </c>
      <c r="G102" s="69"/>
      <c r="H102" s="3">
        <v>2016</v>
      </c>
    </row>
    <row r="103" spans="1:6" ht="12.75">
      <c r="A103" s="18"/>
      <c r="B103" s="29" t="s">
        <v>75</v>
      </c>
      <c r="C103" s="24"/>
      <c r="D103" s="25"/>
      <c r="E103" s="167"/>
      <c r="F103" s="25"/>
    </row>
    <row r="104" spans="1:8" ht="12.75">
      <c r="A104" s="18"/>
      <c r="B104" s="29"/>
      <c r="C104" s="24"/>
      <c r="D104" s="25"/>
      <c r="E104" s="167"/>
      <c r="F104" s="25"/>
      <c r="G104" s="69"/>
      <c r="H104" s="3">
        <v>2013.2014</v>
      </c>
    </row>
    <row r="105" spans="1:6" ht="12.75">
      <c r="A105" s="18"/>
      <c r="B105" s="19" t="s">
        <v>76</v>
      </c>
      <c r="C105" s="24"/>
      <c r="D105" s="25"/>
      <c r="E105" s="167"/>
      <c r="F105" s="25"/>
    </row>
    <row r="106" spans="1:8" ht="12.75">
      <c r="A106" s="18"/>
      <c r="B106" s="20" t="s">
        <v>77</v>
      </c>
      <c r="C106" s="24"/>
      <c r="D106" s="25"/>
      <c r="E106" s="167"/>
      <c r="F106" s="25"/>
      <c r="G106" s="69"/>
      <c r="H106" s="3">
        <v>2015</v>
      </c>
    </row>
    <row r="107" spans="1:7" ht="12.75">
      <c r="A107" s="18"/>
      <c r="B107" s="20"/>
      <c r="C107" s="24"/>
      <c r="D107" s="25"/>
      <c r="E107" s="167"/>
      <c r="F107" s="25"/>
      <c r="G107" s="69"/>
    </row>
    <row r="108" spans="1:6" ht="12.75">
      <c r="A108" s="18"/>
      <c r="B108" s="19" t="s">
        <v>78</v>
      </c>
      <c r="C108" s="24"/>
      <c r="D108" s="25"/>
      <c r="E108" s="167"/>
      <c r="F108" s="25"/>
    </row>
    <row r="109" spans="1:6" ht="12.75">
      <c r="A109" s="18"/>
      <c r="B109" s="20"/>
      <c r="C109" s="24"/>
      <c r="D109" s="25"/>
      <c r="E109" s="167"/>
      <c r="F109" s="25"/>
    </row>
    <row r="110" spans="1:7" ht="12.75">
      <c r="A110" s="18">
        <f>+A102+1</f>
        <v>25</v>
      </c>
      <c r="B110" s="23" t="s">
        <v>79</v>
      </c>
      <c r="C110" s="24" t="s">
        <v>21</v>
      </c>
      <c r="D110" s="25">
        <v>220255360000</v>
      </c>
      <c r="E110" s="167">
        <f>+F110/D110*100</f>
        <v>109.93</v>
      </c>
      <c r="F110" s="25">
        <f>70370527472.68+54348360000+72545452527.32+22000000000+19629472527.32+25000000000-21775452527.32</f>
        <v>242118360000</v>
      </c>
      <c r="G110" s="35"/>
    </row>
    <row r="111" spans="1:6" ht="12.75">
      <c r="A111" s="18"/>
      <c r="B111" s="20"/>
      <c r="C111" s="24"/>
      <c r="D111" s="25"/>
      <c r="E111" s="167"/>
      <c r="F111" s="25"/>
    </row>
    <row r="112" spans="1:6" ht="12.75">
      <c r="A112" s="18"/>
      <c r="B112" s="19" t="s">
        <v>80</v>
      </c>
      <c r="C112" s="20"/>
      <c r="D112" s="25"/>
      <c r="E112" s="167"/>
      <c r="F112" s="25"/>
    </row>
    <row r="113" spans="1:6" ht="12.75">
      <c r="A113" s="18"/>
      <c r="B113" s="20"/>
      <c r="C113" s="20"/>
      <c r="D113" s="25"/>
      <c r="E113" s="167"/>
      <c r="F113" s="25"/>
    </row>
    <row r="114" spans="1:6" ht="12.75">
      <c r="A114" s="18">
        <f>+A110+1</f>
        <v>26</v>
      </c>
      <c r="B114" s="26" t="s">
        <v>81</v>
      </c>
      <c r="C114" s="24" t="s">
        <v>21</v>
      </c>
      <c r="D114" s="25">
        <v>6110000000</v>
      </c>
      <c r="E114" s="167">
        <f>+F114/D114*100</f>
        <v>64.12</v>
      </c>
      <c r="F114" s="25">
        <v>3918008000</v>
      </c>
    </row>
    <row r="115" spans="1:7" ht="12.75">
      <c r="A115" s="18"/>
      <c r="B115" s="29" t="s">
        <v>82</v>
      </c>
      <c r="C115" s="20"/>
      <c r="D115" s="25"/>
      <c r="E115" s="167"/>
      <c r="F115" s="25"/>
      <c r="G115" s="35"/>
    </row>
    <row r="116" spans="1:6" ht="12.75">
      <c r="A116" s="18"/>
      <c r="B116" s="29"/>
      <c r="C116" s="20"/>
      <c r="D116" s="25"/>
      <c r="E116" s="167"/>
      <c r="F116" s="25"/>
    </row>
    <row r="117" spans="1:7" ht="12.75">
      <c r="A117" s="18"/>
      <c r="B117" s="19" t="s">
        <v>83</v>
      </c>
      <c r="C117" s="20"/>
      <c r="D117" s="25"/>
      <c r="E117" s="167"/>
      <c r="F117" s="25"/>
      <c r="G117" s="36"/>
    </row>
    <row r="118" spans="1:6" ht="12.75">
      <c r="A118" s="18"/>
      <c r="B118" s="20"/>
      <c r="C118" s="20"/>
      <c r="D118" s="25"/>
      <c r="E118" s="167"/>
      <c r="F118" s="25"/>
    </row>
    <row r="119" spans="1:6" ht="12.75">
      <c r="A119" s="18">
        <f>A114+1</f>
        <v>27</v>
      </c>
      <c r="B119" s="26" t="s">
        <v>84</v>
      </c>
      <c r="C119" s="24" t="s">
        <v>63</v>
      </c>
      <c r="D119" s="25">
        <v>2311414000</v>
      </c>
      <c r="E119" s="167">
        <f>+F119/D119*100</f>
        <v>100</v>
      </c>
      <c r="F119" s="25">
        <v>2311400000</v>
      </c>
    </row>
    <row r="120" spans="1:6" ht="12.75">
      <c r="A120" s="18"/>
      <c r="B120" s="22"/>
      <c r="C120" s="24"/>
      <c r="D120" s="25"/>
      <c r="E120" s="167"/>
      <c r="F120" s="25"/>
    </row>
    <row r="121" spans="1:6" ht="12.75">
      <c r="A121" s="18">
        <f>+A119+1</f>
        <v>28</v>
      </c>
      <c r="B121" s="26" t="s">
        <v>85</v>
      </c>
      <c r="C121" s="37" t="s">
        <v>86</v>
      </c>
      <c r="D121" s="25">
        <v>2800000000</v>
      </c>
      <c r="E121" s="167">
        <f>+F121/D121*100</f>
        <v>100</v>
      </c>
      <c r="F121" s="25">
        <v>2800000000</v>
      </c>
    </row>
    <row r="122" spans="1:6" ht="12.75">
      <c r="A122" s="18"/>
      <c r="B122" s="19" t="s">
        <v>87</v>
      </c>
      <c r="C122" s="38"/>
      <c r="D122" s="25"/>
      <c r="E122" s="167"/>
      <c r="F122" s="25"/>
    </row>
    <row r="123" spans="1:6" s="33" customFormat="1" ht="16.5" customHeight="1">
      <c r="A123" s="257">
        <f>+A121+1</f>
        <v>29</v>
      </c>
      <c r="B123" s="39" t="s">
        <v>88</v>
      </c>
      <c r="D123" s="25">
        <f>25000000000/5</f>
        <v>5000000000</v>
      </c>
      <c r="E123" s="167">
        <f>+F123/D123*100</f>
        <v>25</v>
      </c>
      <c r="F123" s="25">
        <v>1250000000</v>
      </c>
    </row>
    <row r="124" spans="1:6" ht="12.75">
      <c r="A124" s="18"/>
      <c r="B124" s="20"/>
      <c r="C124" s="20"/>
      <c r="D124" s="25"/>
      <c r="E124" s="167"/>
      <c r="F124" s="25"/>
    </row>
    <row r="125" spans="1:6" ht="12.75">
      <c r="A125" s="18"/>
      <c r="B125" s="19" t="s">
        <v>89</v>
      </c>
      <c r="C125" s="20"/>
      <c r="D125" s="25"/>
      <c r="E125" s="167"/>
      <c r="F125" s="25"/>
    </row>
    <row r="126" spans="1:6" ht="12.75">
      <c r="A126" s="18"/>
      <c r="B126" s="20" t="s">
        <v>90</v>
      </c>
      <c r="C126" s="20"/>
      <c r="D126" s="25"/>
      <c r="E126" s="167"/>
      <c r="F126" s="25"/>
    </row>
    <row r="127" spans="1:6" ht="12.75">
      <c r="A127" s="18">
        <f>+A123+1</f>
        <v>30</v>
      </c>
      <c r="B127" s="26" t="s">
        <v>91</v>
      </c>
      <c r="C127" s="24" t="s">
        <v>21</v>
      </c>
      <c r="D127" s="25">
        <v>41156200000</v>
      </c>
      <c r="E127" s="167">
        <f>+F127/D127*100</f>
        <v>32</v>
      </c>
      <c r="F127" s="25">
        <v>13169980000</v>
      </c>
    </row>
    <row r="128" spans="1:6" ht="12.75">
      <c r="A128" s="18"/>
      <c r="B128" s="29" t="s">
        <v>92</v>
      </c>
      <c r="C128" s="20"/>
      <c r="D128" s="25"/>
      <c r="E128" s="167"/>
      <c r="F128" s="25"/>
    </row>
    <row r="129" spans="1:6" ht="12.75">
      <c r="A129" s="18"/>
      <c r="B129" s="20"/>
      <c r="C129" s="20"/>
      <c r="D129" s="25"/>
      <c r="E129" s="167"/>
      <c r="F129" s="25"/>
    </row>
    <row r="130" spans="1:6" ht="12.75">
      <c r="A130" s="18">
        <f>A127+1</f>
        <v>31</v>
      </c>
      <c r="B130" s="26" t="s">
        <v>93</v>
      </c>
      <c r="C130" s="24" t="s">
        <v>21</v>
      </c>
      <c r="D130" s="25">
        <v>120000000</v>
      </c>
      <c r="E130" s="167">
        <f>+F130/D130*100</f>
        <v>74.96</v>
      </c>
      <c r="F130" s="25">
        <v>89950000</v>
      </c>
    </row>
    <row r="131" spans="1:6" ht="12.75">
      <c r="A131" s="18"/>
      <c r="B131" s="20" t="s">
        <v>94</v>
      </c>
      <c r="C131" s="20"/>
      <c r="D131" s="25"/>
      <c r="E131" s="167"/>
      <c r="F131" s="25"/>
    </row>
    <row r="132" spans="1:6" ht="12.75">
      <c r="A132" s="18"/>
      <c r="B132" s="20"/>
      <c r="C132" s="20"/>
      <c r="D132" s="25"/>
      <c r="E132" s="167"/>
      <c r="F132" s="25"/>
    </row>
    <row r="133" spans="1:6" ht="12.75">
      <c r="A133" s="18"/>
      <c r="B133" s="19" t="s">
        <v>95</v>
      </c>
      <c r="C133" s="20"/>
      <c r="D133" s="25"/>
      <c r="E133" s="167"/>
      <c r="F133" s="25"/>
    </row>
    <row r="134" spans="1:6" ht="12.75">
      <c r="A134" s="18"/>
      <c r="B134" s="20" t="s">
        <v>96</v>
      </c>
      <c r="C134" s="20"/>
      <c r="D134" s="25"/>
      <c r="E134" s="167"/>
      <c r="F134" s="25"/>
    </row>
    <row r="135" spans="1:6" ht="12.75">
      <c r="A135" s="18"/>
      <c r="B135" s="20"/>
      <c r="C135" s="20"/>
      <c r="D135" s="25"/>
      <c r="E135" s="167"/>
      <c r="F135" s="25"/>
    </row>
    <row r="136" spans="1:6" ht="12.75">
      <c r="A136" s="18"/>
      <c r="B136" s="19" t="s">
        <v>97</v>
      </c>
      <c r="C136" s="20"/>
      <c r="D136" s="25"/>
      <c r="E136" s="167"/>
      <c r="F136" s="25"/>
    </row>
    <row r="137" spans="1:6" ht="12.75">
      <c r="A137" s="18"/>
      <c r="B137" s="20"/>
      <c r="C137" s="20"/>
      <c r="D137" s="25"/>
      <c r="E137" s="167"/>
      <c r="F137" s="25"/>
    </row>
    <row r="138" spans="1:6" ht="12.75">
      <c r="A138" s="18">
        <f>A130+1</f>
        <v>32</v>
      </c>
      <c r="B138" s="26" t="s">
        <v>98</v>
      </c>
      <c r="C138" s="24" t="s">
        <v>21</v>
      </c>
      <c r="D138" s="25">
        <f>1352769200/5</f>
        <v>270553840</v>
      </c>
      <c r="E138" s="167">
        <f>+F138/D138*100</f>
        <v>16.74</v>
      </c>
      <c r="F138" s="25">
        <v>45300900</v>
      </c>
    </row>
    <row r="139" spans="1:6" ht="12.75">
      <c r="A139" s="18"/>
      <c r="B139" s="20"/>
      <c r="C139" s="20"/>
      <c r="D139" s="25"/>
      <c r="E139" s="167"/>
      <c r="F139" s="25"/>
    </row>
    <row r="140" spans="1:6" ht="12.75">
      <c r="A140" s="18"/>
      <c r="B140" s="19" t="s">
        <v>99</v>
      </c>
      <c r="C140" s="20"/>
      <c r="D140" s="25"/>
      <c r="E140" s="167"/>
      <c r="F140" s="25"/>
    </row>
    <row r="141" spans="1:6" ht="12.75">
      <c r="A141" s="18"/>
      <c r="B141" s="20"/>
      <c r="C141" s="20"/>
      <c r="D141" s="25"/>
      <c r="E141" s="167"/>
      <c r="F141" s="25"/>
    </row>
    <row r="142" spans="1:6" ht="12.75">
      <c r="A142" s="18">
        <f>A138+1</f>
        <v>33</v>
      </c>
      <c r="B142" s="26" t="s">
        <v>100</v>
      </c>
      <c r="C142" s="24" t="s">
        <v>21</v>
      </c>
      <c r="D142" s="25">
        <f>3399000000/5</f>
        <v>679800000</v>
      </c>
      <c r="E142" s="167">
        <f>+F142/D142*100</f>
        <v>46.58</v>
      </c>
      <c r="F142" s="25">
        <v>316626000</v>
      </c>
    </row>
    <row r="143" spans="1:6" ht="12.75">
      <c r="A143" s="18"/>
      <c r="B143" s="20" t="s">
        <v>101</v>
      </c>
      <c r="C143" s="20"/>
      <c r="D143" s="25"/>
      <c r="E143" s="167"/>
      <c r="F143" s="25"/>
    </row>
    <row r="144" spans="1:6" ht="12.75">
      <c r="A144" s="18"/>
      <c r="B144" s="20"/>
      <c r="C144" s="170"/>
      <c r="D144" s="169"/>
      <c r="E144" s="167"/>
      <c r="F144" s="25"/>
    </row>
    <row r="145" spans="1:6" ht="12.75">
      <c r="A145" s="18">
        <f>+A142+1</f>
        <v>34</v>
      </c>
      <c r="B145" s="22" t="s">
        <v>102</v>
      </c>
      <c r="C145" s="24" t="s">
        <v>21</v>
      </c>
      <c r="D145" s="25">
        <f>358650000/5</f>
        <v>71730000</v>
      </c>
      <c r="E145" s="167">
        <f>+F145/D145*100</f>
        <v>25.48</v>
      </c>
      <c r="F145" s="25">
        <v>18280000</v>
      </c>
    </row>
    <row r="146" spans="1:6" ht="12.75">
      <c r="A146" s="18"/>
      <c r="B146" s="23" t="s">
        <v>103</v>
      </c>
      <c r="C146" s="20"/>
      <c r="D146" s="25"/>
      <c r="E146" s="167"/>
      <c r="F146" s="25"/>
    </row>
    <row r="147" spans="1:6" ht="12.75">
      <c r="A147" s="18"/>
      <c r="B147" s="29" t="s">
        <v>104</v>
      </c>
      <c r="C147" s="20"/>
      <c r="D147" s="25"/>
      <c r="E147" s="167"/>
      <c r="F147" s="25"/>
    </row>
    <row r="148" spans="1:6" ht="12.75">
      <c r="A148" s="18"/>
      <c r="B148" s="29"/>
      <c r="C148" s="7"/>
      <c r="D148" s="25"/>
      <c r="E148" s="167"/>
      <c r="F148" s="25"/>
    </row>
    <row r="149" spans="1:6" s="33" customFormat="1" ht="16.5" customHeight="1">
      <c r="A149" s="257">
        <f>+A145+1</f>
        <v>35</v>
      </c>
      <c r="B149" s="40" t="s">
        <v>105</v>
      </c>
      <c r="D149" s="25">
        <f>55000000/5</f>
        <v>11000000</v>
      </c>
      <c r="E149" s="167">
        <f>+F149/D149*100</f>
        <v>98.18</v>
      </c>
      <c r="F149" s="25">
        <v>10800000</v>
      </c>
    </row>
    <row r="150" spans="1:6" ht="12.75">
      <c r="A150" s="18"/>
      <c r="B150" s="20"/>
      <c r="C150" s="20"/>
      <c r="D150" s="25"/>
      <c r="E150" s="167"/>
      <c r="F150" s="25"/>
    </row>
    <row r="151" spans="1:6" ht="12.75">
      <c r="A151" s="18"/>
      <c r="B151" s="19" t="s">
        <v>106</v>
      </c>
      <c r="C151" s="20"/>
      <c r="D151" s="25"/>
      <c r="E151" s="167"/>
      <c r="F151" s="25"/>
    </row>
    <row r="152" spans="1:6" ht="12.75">
      <c r="A152" s="18"/>
      <c r="B152" s="20" t="s">
        <v>107</v>
      </c>
      <c r="C152" s="20"/>
      <c r="D152" s="25"/>
      <c r="E152" s="167"/>
      <c r="F152" s="25"/>
    </row>
    <row r="153" spans="1:6" ht="12.75">
      <c r="A153" s="18">
        <f>+A149+1</f>
        <v>36</v>
      </c>
      <c r="B153" s="26" t="s">
        <v>108</v>
      </c>
      <c r="C153" s="24" t="s">
        <v>109</v>
      </c>
      <c r="D153" s="25">
        <v>400000000</v>
      </c>
      <c r="E153" s="167">
        <f>+F153/D153*100</f>
        <v>30.5</v>
      </c>
      <c r="F153" s="25">
        <v>122000000</v>
      </c>
    </row>
    <row r="154" spans="1:6" ht="12.75">
      <c r="A154" s="18"/>
      <c r="B154" s="20"/>
      <c r="C154" s="20"/>
      <c r="D154" s="25"/>
      <c r="E154" s="167"/>
      <c r="F154" s="25"/>
    </row>
    <row r="155" spans="1:6" ht="12.75">
      <c r="A155" s="18">
        <f>A153+1</f>
        <v>37</v>
      </c>
      <c r="B155" s="22" t="s">
        <v>110</v>
      </c>
      <c r="C155" s="24" t="s">
        <v>111</v>
      </c>
      <c r="D155" s="25">
        <v>200000000</v>
      </c>
      <c r="E155" s="167">
        <f>+F155/D155*100</f>
        <v>100</v>
      </c>
      <c r="F155" s="25">
        <v>200000000</v>
      </c>
    </row>
    <row r="156" spans="1:6" ht="12.75">
      <c r="A156" s="18"/>
      <c r="B156" s="23" t="s">
        <v>112</v>
      </c>
      <c r="C156" s="20"/>
      <c r="D156" s="25"/>
      <c r="E156" s="167"/>
      <c r="F156" s="25"/>
    </row>
    <row r="157" spans="1:6" ht="12.75">
      <c r="A157" s="18"/>
      <c r="B157" s="23"/>
      <c r="C157" s="20"/>
      <c r="D157" s="25"/>
      <c r="E157" s="167"/>
      <c r="F157" s="25"/>
    </row>
    <row r="158" spans="1:6" ht="12.75">
      <c r="A158" s="18"/>
      <c r="B158" s="19" t="s">
        <v>113</v>
      </c>
      <c r="C158" s="20"/>
      <c r="D158" s="25"/>
      <c r="E158" s="167"/>
      <c r="F158" s="25"/>
    </row>
    <row r="159" spans="1:6" ht="12.75">
      <c r="A159" s="18"/>
      <c r="B159" s="20" t="s">
        <v>114</v>
      </c>
      <c r="C159" s="20"/>
      <c r="D159" s="25"/>
      <c r="E159" s="167"/>
      <c r="F159" s="25"/>
    </row>
    <row r="160" spans="1:6" ht="12.75">
      <c r="A160" s="18"/>
      <c r="B160" s="20"/>
      <c r="C160" s="20"/>
      <c r="D160" s="25"/>
      <c r="E160" s="167"/>
      <c r="F160" s="25"/>
    </row>
    <row r="161" spans="1:6" ht="12.75">
      <c r="A161" s="18">
        <f>+A155+1</f>
        <v>38</v>
      </c>
      <c r="B161" s="22" t="s">
        <v>115</v>
      </c>
      <c r="C161" s="24" t="s">
        <v>49</v>
      </c>
      <c r="D161" s="25">
        <v>271760000</v>
      </c>
      <c r="E161" s="167">
        <f>+F161/D161*100</f>
        <v>97.99</v>
      </c>
      <c r="F161" s="25">
        <v>266309000</v>
      </c>
    </row>
    <row r="162" spans="1:6" ht="12.75">
      <c r="A162" s="18"/>
      <c r="B162" s="23" t="s">
        <v>116</v>
      </c>
      <c r="C162" s="20"/>
      <c r="D162" s="25"/>
      <c r="E162" s="167"/>
      <c r="F162" s="25"/>
    </row>
    <row r="163" spans="1:6" ht="12.75">
      <c r="A163" s="18"/>
      <c r="B163" s="23"/>
      <c r="C163" s="20"/>
      <c r="D163" s="25"/>
      <c r="E163" s="167"/>
      <c r="F163" s="25"/>
    </row>
    <row r="164" spans="1:6" ht="12.75">
      <c r="A164" s="18"/>
      <c r="B164" s="23"/>
      <c r="C164" s="20"/>
      <c r="D164" s="25"/>
      <c r="E164" s="167"/>
      <c r="F164" s="25"/>
    </row>
    <row r="165" spans="1:6" ht="12.75">
      <c r="A165" s="18"/>
      <c r="B165" s="29"/>
      <c r="C165" s="20"/>
      <c r="D165" s="25"/>
      <c r="E165" s="167"/>
      <c r="F165" s="25"/>
    </row>
    <row r="166" spans="1:6" ht="12.75">
      <c r="A166" s="18"/>
      <c r="B166" s="19" t="s">
        <v>117</v>
      </c>
      <c r="C166" s="20"/>
      <c r="D166" s="25"/>
      <c r="E166" s="167"/>
      <c r="F166" s="25"/>
    </row>
    <row r="167" spans="1:6" ht="12.75">
      <c r="A167" s="18"/>
      <c r="B167" s="20" t="s">
        <v>118</v>
      </c>
      <c r="C167" s="20"/>
      <c r="D167" s="25"/>
      <c r="E167" s="167"/>
      <c r="F167" s="25"/>
    </row>
    <row r="168" spans="1:6" ht="12.75">
      <c r="A168" s="18"/>
      <c r="B168" s="20"/>
      <c r="C168" s="20"/>
      <c r="D168" s="25"/>
      <c r="E168" s="167"/>
      <c r="F168" s="25"/>
    </row>
    <row r="169" spans="1:6" ht="12.75">
      <c r="A169" s="18">
        <f>+A161+1</f>
        <v>39</v>
      </c>
      <c r="B169" s="26" t="s">
        <v>119</v>
      </c>
      <c r="C169" s="24" t="s">
        <v>21</v>
      </c>
      <c r="D169" s="25">
        <v>3400000000</v>
      </c>
      <c r="E169" s="167">
        <f>+F169/D169*100</f>
        <v>56.77</v>
      </c>
      <c r="F169" s="25">
        <v>1930100000</v>
      </c>
    </row>
    <row r="170" spans="1:6" ht="12.75">
      <c r="A170" s="18"/>
      <c r="B170" s="20"/>
      <c r="C170" s="20"/>
      <c r="D170" s="25"/>
      <c r="E170" s="167"/>
      <c r="F170" s="25"/>
    </row>
    <row r="171" spans="1:6" ht="12.75">
      <c r="A171" s="18">
        <f>+A169+1</f>
        <v>40</v>
      </c>
      <c r="B171" s="26" t="s">
        <v>120</v>
      </c>
      <c r="C171" s="41" t="s">
        <v>21</v>
      </c>
      <c r="D171" s="25">
        <v>2000000000</v>
      </c>
      <c r="E171" s="167">
        <f>+F171/D171*100</f>
        <v>49</v>
      </c>
      <c r="F171" s="25">
        <v>980000000</v>
      </c>
    </row>
    <row r="172" spans="1:6" ht="12.75">
      <c r="A172" s="18"/>
      <c r="B172" s="20"/>
      <c r="C172" s="20"/>
      <c r="D172" s="25"/>
      <c r="E172" s="167"/>
      <c r="F172" s="25"/>
    </row>
    <row r="173" spans="1:6" ht="12.75">
      <c r="A173" s="18">
        <f>+A171+1</f>
        <v>41</v>
      </c>
      <c r="B173" s="23" t="s">
        <v>121</v>
      </c>
      <c r="C173" s="24"/>
      <c r="D173" s="25">
        <v>111000000000</v>
      </c>
      <c r="E173" s="167">
        <f>+F173/D173*100</f>
        <v>100</v>
      </c>
      <c r="F173" s="25">
        <v>111000000000</v>
      </c>
    </row>
    <row r="174" spans="1:6" ht="12.75">
      <c r="A174" s="18"/>
      <c r="B174" s="22"/>
      <c r="C174" s="24"/>
      <c r="D174" s="25"/>
      <c r="E174" s="167"/>
      <c r="F174" s="25"/>
    </row>
    <row r="175" spans="1:6" ht="12.75">
      <c r="A175" s="18">
        <f>+A173+1</f>
        <v>42</v>
      </c>
      <c r="B175" s="23" t="s">
        <v>122</v>
      </c>
      <c r="C175" s="37" t="s">
        <v>86</v>
      </c>
      <c r="D175" s="25">
        <v>45342580000</v>
      </c>
      <c r="E175" s="167">
        <f>+F175/D175*100</f>
        <v>9.41</v>
      </c>
      <c r="F175" s="25">
        <v>4265300000</v>
      </c>
    </row>
    <row r="176" spans="1:6" ht="12.75">
      <c r="A176" s="18"/>
      <c r="B176" s="23"/>
      <c r="C176" s="38"/>
      <c r="D176" s="25"/>
      <c r="E176" s="167"/>
      <c r="F176" s="25"/>
    </row>
    <row r="177" spans="1:6" s="33" customFormat="1" ht="12.75" customHeight="1">
      <c r="A177" s="257">
        <f>+A175+1</f>
        <v>43</v>
      </c>
      <c r="B177" s="23" t="s">
        <v>123</v>
      </c>
      <c r="D177" s="25">
        <v>5460000000</v>
      </c>
      <c r="E177" s="167">
        <f>+F177/D177*100</f>
        <v>100</v>
      </c>
      <c r="F177" s="25">
        <v>5460000000</v>
      </c>
    </row>
    <row r="178" spans="1:6" s="33" customFormat="1" ht="12.75" customHeight="1">
      <c r="A178" s="257"/>
      <c r="B178" s="23"/>
      <c r="D178" s="25"/>
      <c r="E178" s="167"/>
      <c r="F178" s="25"/>
    </row>
    <row r="179" spans="1:6" s="33" customFormat="1" ht="12.75" customHeight="1">
      <c r="A179" s="18">
        <f>+A177+1</f>
        <v>44</v>
      </c>
      <c r="B179" s="23" t="s">
        <v>124</v>
      </c>
      <c r="D179" s="25">
        <v>10800000000</v>
      </c>
      <c r="E179" s="167">
        <f>+F179/D179*100</f>
        <v>32.58</v>
      </c>
      <c r="F179" s="25">
        <v>3518640000</v>
      </c>
    </row>
    <row r="180" spans="1:6" s="33" customFormat="1" ht="12.75" customHeight="1">
      <c r="A180" s="18"/>
      <c r="B180" s="23"/>
      <c r="D180" s="25"/>
      <c r="E180" s="167"/>
      <c r="F180" s="25"/>
    </row>
    <row r="181" spans="1:6" s="33" customFormat="1" ht="12.75" customHeight="1">
      <c r="A181" s="257">
        <f>+A179+1</f>
        <v>45</v>
      </c>
      <c r="B181" s="23" t="s">
        <v>125</v>
      </c>
      <c r="D181" s="25">
        <v>14000000000</v>
      </c>
      <c r="E181" s="167">
        <f>+F181/D181*100</f>
        <v>28.5</v>
      </c>
      <c r="F181" s="25">
        <v>3990000000</v>
      </c>
    </row>
    <row r="182" spans="1:6" s="33" customFormat="1" ht="12.75" customHeight="1">
      <c r="A182" s="257"/>
      <c r="B182" s="23"/>
      <c r="D182" s="25"/>
      <c r="E182" s="167"/>
      <c r="F182" s="25"/>
    </row>
    <row r="183" spans="1:6" s="33" customFormat="1" ht="12.75" customHeight="1">
      <c r="A183" s="257">
        <f>+A181+1</f>
        <v>46</v>
      </c>
      <c r="B183" s="23" t="s">
        <v>126</v>
      </c>
      <c r="D183" s="25">
        <f>35066500000/5</f>
        <v>7013300000</v>
      </c>
      <c r="E183" s="167">
        <f>+F183/D183*100</f>
        <v>73.36</v>
      </c>
      <c r="F183" s="25">
        <v>5144956880</v>
      </c>
    </row>
    <row r="184" spans="1:6" s="33" customFormat="1" ht="12.75" customHeight="1">
      <c r="A184" s="257"/>
      <c r="B184" s="23"/>
      <c r="D184" s="25"/>
      <c r="E184" s="167"/>
      <c r="F184" s="25"/>
    </row>
    <row r="185" spans="1:6" s="33" customFormat="1" ht="12.75" customHeight="1">
      <c r="A185" s="257">
        <f>+A183+1</f>
        <v>47</v>
      </c>
      <c r="B185" s="23" t="s">
        <v>127</v>
      </c>
      <c r="D185" s="25">
        <v>5435600000</v>
      </c>
      <c r="E185" s="167">
        <f>+F185/D185*100</f>
        <v>67.47</v>
      </c>
      <c r="F185" s="25">
        <v>3667500000</v>
      </c>
    </row>
    <row r="186" spans="1:6" s="33" customFormat="1" ht="12.75" customHeight="1">
      <c r="A186" s="257"/>
      <c r="B186" s="19"/>
      <c r="D186" s="25"/>
      <c r="E186" s="167"/>
      <c r="F186" s="25"/>
    </row>
    <row r="187" spans="1:6" s="33" customFormat="1" ht="12.75" customHeight="1">
      <c r="A187" s="257"/>
      <c r="B187" s="19" t="s">
        <v>128</v>
      </c>
      <c r="D187" s="25"/>
      <c r="E187" s="167"/>
      <c r="F187" s="25"/>
    </row>
    <row r="188" spans="1:6" ht="12.75">
      <c r="A188" s="18"/>
      <c r="B188" s="23" t="s">
        <v>129</v>
      </c>
      <c r="C188" s="20"/>
      <c r="D188" s="25"/>
      <c r="E188" s="167"/>
      <c r="F188" s="25"/>
    </row>
    <row r="189" spans="1:6" ht="12.75">
      <c r="A189" s="18"/>
      <c r="B189" s="23"/>
      <c r="C189" s="7"/>
      <c r="D189" s="25"/>
      <c r="E189" s="167"/>
      <c r="F189" s="25"/>
    </row>
    <row r="190" spans="1:6" s="33" customFormat="1" ht="16.5" customHeight="1">
      <c r="A190" s="257">
        <f>+A185+1</f>
        <v>48</v>
      </c>
      <c r="B190" s="23" t="s">
        <v>130</v>
      </c>
      <c r="D190" s="25">
        <v>10000000</v>
      </c>
      <c r="E190" s="167">
        <f>+F190/D190*100</f>
        <v>30</v>
      </c>
      <c r="F190" s="25">
        <v>3000000</v>
      </c>
    </row>
    <row r="191" spans="1:6" s="33" customFormat="1" ht="16.5" customHeight="1">
      <c r="A191" s="257"/>
      <c r="B191" s="23"/>
      <c r="D191" s="25"/>
      <c r="E191" s="167"/>
      <c r="F191" s="25"/>
    </row>
    <row r="192" spans="1:6" s="33" customFormat="1" ht="16.5" customHeight="1">
      <c r="A192" s="257">
        <f>+A190+1</f>
        <v>49</v>
      </c>
      <c r="B192" s="23" t="s">
        <v>131</v>
      </c>
      <c r="D192" s="25">
        <v>500000000</v>
      </c>
      <c r="E192" s="167">
        <f>+F192/D192*100</f>
        <v>34</v>
      </c>
      <c r="F192" s="25">
        <v>170000000</v>
      </c>
    </row>
    <row r="193" spans="1:6" s="33" customFormat="1" ht="16.5" customHeight="1">
      <c r="A193" s="257"/>
      <c r="B193" s="23"/>
      <c r="D193" s="25"/>
      <c r="E193" s="167"/>
      <c r="F193" s="25"/>
    </row>
    <row r="194" spans="1:6" s="33" customFormat="1" ht="16.5" customHeight="1">
      <c r="A194" s="257">
        <f>+A192+1</f>
        <v>50</v>
      </c>
      <c r="B194" s="23" t="s">
        <v>132</v>
      </c>
      <c r="D194" s="25">
        <v>962000000</v>
      </c>
      <c r="E194" s="167">
        <f>+F194/D194*100</f>
        <v>7.71</v>
      </c>
      <c r="F194" s="25">
        <v>74200000</v>
      </c>
    </row>
    <row r="195" spans="1:6" s="33" customFormat="1" ht="16.5" customHeight="1">
      <c r="A195" s="257"/>
      <c r="B195" s="23"/>
      <c r="D195" s="25"/>
      <c r="E195" s="167"/>
      <c r="F195" s="25"/>
    </row>
    <row r="196" spans="1:6" s="33" customFormat="1" ht="16.5" customHeight="1">
      <c r="A196" s="257">
        <f>+A194+1</f>
        <v>51</v>
      </c>
      <c r="B196" s="23" t="s">
        <v>133</v>
      </c>
      <c r="D196" s="25">
        <v>1200136500</v>
      </c>
      <c r="E196" s="167">
        <f>+F196/D196*100</f>
        <v>100</v>
      </c>
      <c r="F196" s="25">
        <v>1200136500</v>
      </c>
    </row>
    <row r="197" spans="1:6" s="33" customFormat="1" ht="16.5" customHeight="1">
      <c r="A197" s="257"/>
      <c r="B197" s="23"/>
      <c r="D197" s="25"/>
      <c r="E197" s="167"/>
      <c r="F197" s="25"/>
    </row>
    <row r="198" spans="1:6" ht="12.75">
      <c r="A198" s="257">
        <f>+A196+1</f>
        <v>52</v>
      </c>
      <c r="B198" s="23" t="s">
        <v>134</v>
      </c>
      <c r="C198" s="42"/>
      <c r="D198" s="25">
        <v>20000000</v>
      </c>
      <c r="E198" s="167">
        <f>+F198/D198*100</f>
        <v>100</v>
      </c>
      <c r="F198" s="25">
        <v>20000000</v>
      </c>
    </row>
    <row r="199" spans="1:6" ht="12.75">
      <c r="A199" s="257"/>
      <c r="B199" s="23"/>
      <c r="C199" s="42"/>
      <c r="D199" s="25"/>
      <c r="E199" s="167"/>
      <c r="F199" s="25"/>
    </row>
    <row r="200" spans="1:6" s="33" customFormat="1" ht="16.5" customHeight="1">
      <c r="A200" s="257">
        <f>+A198+1</f>
        <v>53</v>
      </c>
      <c r="B200" s="23" t="s">
        <v>135</v>
      </c>
      <c r="D200" s="25">
        <v>439000000</v>
      </c>
      <c r="E200" s="167">
        <f>+F200/D200*100</f>
        <v>100</v>
      </c>
      <c r="F200" s="25">
        <v>439000000</v>
      </c>
    </row>
    <row r="201" spans="1:6" s="33" customFormat="1" ht="16.5" customHeight="1">
      <c r="A201" s="257"/>
      <c r="B201" s="23"/>
      <c r="D201" s="25"/>
      <c r="E201" s="167"/>
      <c r="F201" s="25"/>
    </row>
    <row r="202" spans="1:6" s="33" customFormat="1" ht="16.5" customHeight="1">
      <c r="A202" s="257">
        <v>54</v>
      </c>
      <c r="B202" s="83" t="s">
        <v>189</v>
      </c>
      <c r="D202" s="25">
        <v>1000000000</v>
      </c>
      <c r="E202" s="167">
        <v>60</v>
      </c>
      <c r="F202" s="25">
        <v>600000000</v>
      </c>
    </row>
    <row r="203" spans="1:6" s="33" customFormat="1" ht="12.75" customHeight="1">
      <c r="A203" s="259"/>
      <c r="B203" s="43"/>
      <c r="C203" s="171"/>
      <c r="D203" s="44"/>
      <c r="F203" s="25"/>
    </row>
    <row r="204" spans="1:6" ht="12.75">
      <c r="A204" s="31"/>
      <c r="C204" s="45"/>
      <c r="D204" s="45"/>
      <c r="E204" s="67" t="s">
        <v>136</v>
      </c>
      <c r="F204" s="68">
        <f>SUM(F11:F203)</f>
        <v>787309682214.77</v>
      </c>
    </row>
    <row r="205" spans="1:6" ht="12.75">
      <c r="A205" s="31"/>
      <c r="B205" s="46"/>
      <c r="C205" s="46"/>
      <c r="D205" s="47"/>
      <c r="E205" s="48"/>
      <c r="F205" s="49"/>
    </row>
    <row r="206" spans="1:7" ht="12.75">
      <c r="A206" s="31"/>
      <c r="B206" s="46"/>
      <c r="C206" s="46"/>
      <c r="D206" s="47"/>
      <c r="E206" s="50"/>
      <c r="F206" s="51"/>
      <c r="G206" s="70"/>
    </row>
    <row r="207" spans="1:6" ht="12.75">
      <c r="A207" s="31"/>
      <c r="B207" s="46"/>
      <c r="C207" s="46"/>
      <c r="D207" s="47"/>
      <c r="E207" s="52" t="s">
        <v>137</v>
      </c>
      <c r="F207" s="51"/>
    </row>
    <row r="208" spans="1:8" ht="12.75">
      <c r="A208" s="31"/>
      <c r="B208" s="46"/>
      <c r="C208" s="46"/>
      <c r="D208" s="47"/>
      <c r="E208" s="53">
        <v>2611</v>
      </c>
      <c r="F208" s="56">
        <v>650063285334.77</v>
      </c>
      <c r="G208" s="70"/>
      <c r="H208" s="36"/>
    </row>
    <row r="209" spans="1:7" ht="12.75">
      <c r="A209" s="54"/>
      <c r="D209" s="47"/>
      <c r="E209" s="55">
        <v>2613</v>
      </c>
      <c r="F209" s="56">
        <v>26046396880</v>
      </c>
      <c r="G209" s="70"/>
    </row>
    <row r="210" spans="1:7" ht="12.75">
      <c r="A210" s="54"/>
      <c r="D210" s="47"/>
      <c r="E210" s="55">
        <v>2614</v>
      </c>
      <c r="F210" s="56">
        <v>111200000000</v>
      </c>
      <c r="G210" s="70"/>
    </row>
    <row r="211" spans="1:7" ht="12.75">
      <c r="A211" s="54"/>
      <c r="D211" s="47"/>
      <c r="E211" s="52" t="s">
        <v>138</v>
      </c>
      <c r="F211" s="57">
        <f>SUM(F208:F210)</f>
        <v>787309682214.77</v>
      </c>
      <c r="G211" s="70"/>
    </row>
    <row r="212" spans="1:6" ht="12.75">
      <c r="A212" s="54"/>
      <c r="D212" s="47"/>
      <c r="E212" s="58"/>
      <c r="F212" s="59"/>
    </row>
    <row r="213" spans="1:6" ht="12.75">
      <c r="A213" s="60"/>
      <c r="B213" s="42"/>
      <c r="C213" s="42"/>
      <c r="D213" s="47"/>
      <c r="E213" s="61"/>
      <c r="F213" s="87">
        <f>+F204-F211</f>
        <v>0</v>
      </c>
    </row>
    <row r="214" spans="1:6" ht="12.75">
      <c r="A214" s="60"/>
      <c r="B214" s="42"/>
      <c r="C214" s="42"/>
      <c r="D214" s="47"/>
      <c r="E214" s="61"/>
      <c r="F214" s="62"/>
    </row>
    <row r="233" spans="4:9" ht="12.75">
      <c r="D233" s="47"/>
      <c r="F233" s="8"/>
      <c r="H233" s="70"/>
      <c r="I233" s="71"/>
    </row>
    <row r="234" ht="12.75">
      <c r="D234" s="47"/>
    </row>
    <row r="235" ht="12.75">
      <c r="D235" s="47"/>
    </row>
    <row r="236" ht="12.75">
      <c r="D236" s="47"/>
    </row>
    <row r="237" ht="12.75">
      <c r="D237" s="47"/>
    </row>
    <row r="238" ht="12.75">
      <c r="D238" s="47"/>
    </row>
    <row r="239" ht="12.75">
      <c r="D239" s="47"/>
    </row>
    <row r="240" ht="12.75">
      <c r="D240" s="47"/>
    </row>
    <row r="241" ht="12.75">
      <c r="D241" s="47"/>
    </row>
    <row r="242" ht="12.75">
      <c r="D242" s="47"/>
    </row>
    <row r="243" ht="12.75">
      <c r="D243" s="47"/>
    </row>
    <row r="244" ht="12.75">
      <c r="D244" s="47"/>
    </row>
    <row r="245" ht="12.75">
      <c r="D245" s="47"/>
    </row>
    <row r="246" ht="12.75">
      <c r="D246" s="47"/>
    </row>
    <row r="247" ht="12.75">
      <c r="D247" s="47"/>
    </row>
    <row r="248" ht="12.75">
      <c r="D248" s="47"/>
    </row>
    <row r="249" ht="12.75">
      <c r="D249" s="47"/>
    </row>
    <row r="250" ht="12.75">
      <c r="D250" s="47"/>
    </row>
    <row r="251" ht="12.75">
      <c r="D251" s="47"/>
    </row>
    <row r="252" ht="12.75">
      <c r="D252" s="47"/>
    </row>
    <row r="253" ht="12.75">
      <c r="D253" s="47"/>
    </row>
    <row r="254" ht="12.75">
      <c r="D254" s="47"/>
    </row>
    <row r="255" ht="12.75">
      <c r="D255" s="47"/>
    </row>
    <row r="256" ht="12.75">
      <c r="D256" s="47"/>
    </row>
    <row r="257" ht="12.75">
      <c r="D257" s="47"/>
    </row>
    <row r="258" ht="12.75">
      <c r="D258" s="47"/>
    </row>
    <row r="259" ht="12.75">
      <c r="D259" s="47"/>
    </row>
    <row r="260" ht="12.75">
      <c r="D260" s="47"/>
    </row>
    <row r="261" ht="12.75">
      <c r="D261" s="47"/>
    </row>
    <row r="262" ht="12.75">
      <c r="D262" s="47"/>
    </row>
    <row r="263" ht="12.75">
      <c r="D263" s="47"/>
    </row>
    <row r="264" ht="12.75">
      <c r="D264" s="47"/>
    </row>
    <row r="265" ht="12.75">
      <c r="D265" s="47"/>
    </row>
    <row r="266" ht="12.75">
      <c r="D266" s="47"/>
    </row>
    <row r="267" ht="12.75">
      <c r="D267" s="47"/>
    </row>
    <row r="268" ht="12.75">
      <c r="D268" s="47"/>
    </row>
    <row r="269" ht="12.75">
      <c r="D269" s="47"/>
    </row>
    <row r="270" ht="12.75">
      <c r="D270" s="47"/>
    </row>
    <row r="271" ht="12.75">
      <c r="D271" s="47"/>
    </row>
    <row r="272" ht="12.75">
      <c r="D272" s="47"/>
    </row>
    <row r="273" ht="12.75">
      <c r="D273" s="47"/>
    </row>
    <row r="274" ht="12.75">
      <c r="D274" s="47"/>
    </row>
    <row r="275" ht="12.75">
      <c r="D275" s="47"/>
    </row>
    <row r="276" ht="12.75">
      <c r="D276" s="47"/>
    </row>
    <row r="277" ht="12.75">
      <c r="D277" s="47"/>
    </row>
    <row r="278" ht="12.75">
      <c r="D278" s="47"/>
    </row>
    <row r="279" ht="12.75">
      <c r="D279" s="47"/>
    </row>
    <row r="280" ht="12.75">
      <c r="D280" s="47"/>
    </row>
    <row r="281" ht="12.75">
      <c r="D281" s="47"/>
    </row>
    <row r="282" ht="12.75">
      <c r="D282" s="47"/>
    </row>
    <row r="283" ht="12.75">
      <c r="D283" s="47"/>
    </row>
    <row r="284" ht="12.75">
      <c r="D284" s="47"/>
    </row>
    <row r="285" ht="12.75">
      <c r="D285" s="47"/>
    </row>
    <row r="286" ht="12.75">
      <c r="D286" s="47"/>
    </row>
    <row r="287" ht="12.75">
      <c r="D287" s="47"/>
    </row>
    <row r="288" ht="12.75">
      <c r="D288" s="47"/>
    </row>
    <row r="289" ht="12.75">
      <c r="D289" s="47"/>
    </row>
    <row r="290" ht="12.75">
      <c r="D290" s="47"/>
    </row>
    <row r="291" ht="12.75">
      <c r="D291" s="47"/>
    </row>
    <row r="292" ht="12.75">
      <c r="D292" s="47"/>
    </row>
    <row r="293" ht="12.75">
      <c r="D293" s="47"/>
    </row>
    <row r="294" ht="12.75">
      <c r="D294" s="47"/>
    </row>
    <row r="295" ht="12.75">
      <c r="D295" s="47"/>
    </row>
    <row r="296" ht="12.75">
      <c r="D296" s="47"/>
    </row>
    <row r="297" ht="12.75">
      <c r="D297" s="47"/>
    </row>
    <row r="298" ht="12.75">
      <c r="D298" s="47"/>
    </row>
    <row r="299" ht="12.75">
      <c r="D299" s="47"/>
    </row>
    <row r="300" ht="12.75">
      <c r="D300" s="47"/>
    </row>
    <row r="301" ht="12.75">
      <c r="D301" s="47"/>
    </row>
    <row r="302" ht="12.75">
      <c r="D302" s="47"/>
    </row>
    <row r="303" ht="12.75">
      <c r="D303" s="47"/>
    </row>
    <row r="304" ht="12.75">
      <c r="D304" s="47"/>
    </row>
    <row r="305" ht="12.75">
      <c r="D305" s="47"/>
    </row>
    <row r="306" ht="12.75">
      <c r="D306" s="47"/>
    </row>
    <row r="307" ht="12.75">
      <c r="D307" s="47"/>
    </row>
    <row r="308" ht="12.75">
      <c r="D308" s="47"/>
    </row>
    <row r="309" ht="12.75">
      <c r="D309" s="47"/>
    </row>
    <row r="310" ht="12.75">
      <c r="D310" s="47"/>
    </row>
    <row r="311" ht="12.75">
      <c r="D311" s="47"/>
    </row>
    <row r="312" ht="12.75">
      <c r="D312" s="47"/>
    </row>
    <row r="313" ht="12.75">
      <c r="D313" s="47"/>
    </row>
    <row r="314" ht="12.75">
      <c r="D314" s="47"/>
    </row>
    <row r="315" ht="12.75">
      <c r="D315" s="47"/>
    </row>
    <row r="316" ht="12.75">
      <c r="D316" s="47"/>
    </row>
    <row r="317" ht="12.75">
      <c r="D317" s="47"/>
    </row>
    <row r="318" ht="12.75">
      <c r="D318" s="47"/>
    </row>
    <row r="319" ht="12.75">
      <c r="D319" s="47"/>
    </row>
    <row r="320" ht="12.75">
      <c r="D320" s="47"/>
    </row>
    <row r="321" ht="12.75">
      <c r="D321" s="47"/>
    </row>
    <row r="322" ht="12.75">
      <c r="D322" s="47"/>
    </row>
    <row r="323" ht="12.75">
      <c r="D323" s="47"/>
    </row>
    <row r="324" ht="12.75">
      <c r="D324" s="47"/>
    </row>
    <row r="325" ht="12.75">
      <c r="D325" s="47"/>
    </row>
    <row r="326" ht="12.75">
      <c r="D326" s="47"/>
    </row>
    <row r="327" ht="12.75">
      <c r="D327" s="47"/>
    </row>
    <row r="328" ht="12.75">
      <c r="D328" s="47"/>
    </row>
    <row r="329" spans="1:7" s="42" customFormat="1" ht="12.75">
      <c r="A329" s="1"/>
      <c r="B329" s="3"/>
      <c r="C329" s="3"/>
      <c r="D329" s="47"/>
      <c r="E329" s="5"/>
      <c r="F329" s="4"/>
      <c r="G329" s="3"/>
    </row>
    <row r="330" ht="12.75">
      <c r="D330" s="47"/>
    </row>
    <row r="331" ht="12.75">
      <c r="D331" s="47"/>
    </row>
    <row r="332" ht="12.75">
      <c r="D332" s="47"/>
    </row>
    <row r="333" ht="12.75">
      <c r="D333" s="47"/>
    </row>
    <row r="334" ht="12.75">
      <c r="D334" s="47"/>
    </row>
    <row r="335" ht="12.75">
      <c r="D335" s="47"/>
    </row>
    <row r="336" ht="12.75">
      <c r="D336" s="47"/>
    </row>
    <row r="337" ht="12.75">
      <c r="D337" s="47"/>
    </row>
    <row r="338" ht="12.75">
      <c r="D338" s="47"/>
    </row>
    <row r="339" ht="12.75">
      <c r="D339" s="47"/>
    </row>
    <row r="340" ht="12.75">
      <c r="D340" s="47"/>
    </row>
    <row r="341" ht="12.75">
      <c r="D341" s="47"/>
    </row>
    <row r="342" ht="12.75">
      <c r="D342" s="47"/>
    </row>
    <row r="343" ht="12.75">
      <c r="D343" s="47"/>
    </row>
    <row r="344" spans="4:7" ht="12.75">
      <c r="D344" s="47"/>
      <c r="G344" s="42"/>
    </row>
    <row r="345" ht="12.75">
      <c r="D345" s="47"/>
    </row>
    <row r="346" ht="12.75">
      <c r="D346" s="47"/>
    </row>
    <row r="347" spans="1:7" s="42" customFormat="1" ht="12.75">
      <c r="A347" s="1"/>
      <c r="B347" s="3"/>
      <c r="C347" s="3"/>
      <c r="D347" s="47"/>
      <c r="E347" s="5"/>
      <c r="F347" s="4"/>
      <c r="G347" s="3"/>
    </row>
    <row r="348" spans="1:7" s="42" customFormat="1" ht="12.75">
      <c r="A348" s="1"/>
      <c r="B348" s="3"/>
      <c r="C348" s="3"/>
      <c r="D348" s="47"/>
      <c r="E348" s="5"/>
      <c r="F348" s="4"/>
      <c r="G348" s="3"/>
    </row>
    <row r="349" spans="1:7" s="42" customFormat="1" ht="12.75">
      <c r="A349" s="1"/>
      <c r="B349" s="3"/>
      <c r="C349" s="3"/>
      <c r="D349" s="47"/>
      <c r="E349" s="5"/>
      <c r="F349" s="4"/>
      <c r="G349" s="3"/>
    </row>
    <row r="350" spans="1:7" s="42" customFormat="1" ht="12.75">
      <c r="A350" s="1"/>
      <c r="B350" s="3"/>
      <c r="C350" s="3"/>
      <c r="D350" s="47"/>
      <c r="E350" s="5"/>
      <c r="F350" s="4"/>
      <c r="G350" s="3"/>
    </row>
    <row r="351" spans="1:7" s="42" customFormat="1" ht="12.75">
      <c r="A351" s="1"/>
      <c r="B351" s="3"/>
      <c r="C351" s="3"/>
      <c r="D351" s="47"/>
      <c r="E351" s="5"/>
      <c r="F351" s="4"/>
      <c r="G351" s="3"/>
    </row>
    <row r="352" spans="1:7" s="42" customFormat="1" ht="12.75">
      <c r="A352" s="1"/>
      <c r="B352" s="3"/>
      <c r="C352" s="3"/>
      <c r="D352" s="47"/>
      <c r="E352" s="5"/>
      <c r="F352" s="4"/>
      <c r="G352" s="3"/>
    </row>
    <row r="353" spans="1:7" s="42" customFormat="1" ht="12.75">
      <c r="A353" s="1"/>
      <c r="B353" s="3"/>
      <c r="C353" s="3"/>
      <c r="D353" s="47"/>
      <c r="E353" s="5"/>
      <c r="F353" s="4"/>
      <c r="G353" s="3"/>
    </row>
    <row r="354" spans="1:7" s="42" customFormat="1" ht="12.75">
      <c r="A354" s="1"/>
      <c r="B354" s="3"/>
      <c r="C354" s="3"/>
      <c r="D354" s="47"/>
      <c r="E354" s="5"/>
      <c r="F354" s="4"/>
      <c r="G354" s="3"/>
    </row>
    <row r="355" spans="1:7" s="42" customFormat="1" ht="12.75">
      <c r="A355" s="1"/>
      <c r="B355" s="3"/>
      <c r="C355" s="3"/>
      <c r="D355" s="47"/>
      <c r="E355" s="5"/>
      <c r="F355" s="4"/>
      <c r="G355" s="3"/>
    </row>
    <row r="356" spans="1:7" s="42" customFormat="1" ht="12.75">
      <c r="A356" s="1"/>
      <c r="B356" s="3"/>
      <c r="C356" s="3"/>
      <c r="D356" s="47"/>
      <c r="E356" s="5"/>
      <c r="F356" s="4"/>
      <c r="G356" s="3"/>
    </row>
    <row r="357" spans="1:7" s="42" customFormat="1" ht="12.75">
      <c r="A357" s="1"/>
      <c r="B357" s="3"/>
      <c r="C357" s="3"/>
      <c r="D357" s="47"/>
      <c r="E357" s="5"/>
      <c r="F357" s="4"/>
      <c r="G357" s="3"/>
    </row>
    <row r="358" spans="1:7" s="42" customFormat="1" ht="12.75">
      <c r="A358" s="1"/>
      <c r="B358" s="3"/>
      <c r="C358" s="3"/>
      <c r="D358" s="47"/>
      <c r="E358" s="5"/>
      <c r="F358" s="4"/>
      <c r="G358" s="3"/>
    </row>
    <row r="359" spans="1:7" s="42" customFormat="1" ht="12.75">
      <c r="A359" s="1"/>
      <c r="B359" s="3"/>
      <c r="C359" s="3"/>
      <c r="D359" s="47"/>
      <c r="E359" s="5"/>
      <c r="F359" s="4"/>
      <c r="G359" s="3"/>
    </row>
    <row r="360" ht="12.75">
      <c r="D360" s="47"/>
    </row>
    <row r="362" ht="12.75">
      <c r="G362" s="42"/>
    </row>
    <row r="363" ht="12.75">
      <c r="G363" s="42"/>
    </row>
    <row r="364" ht="12.75">
      <c r="G364" s="42"/>
    </row>
    <row r="365" ht="12.75">
      <c r="G365" s="42"/>
    </row>
    <row r="366" ht="12.75">
      <c r="G366" s="42"/>
    </row>
    <row r="367" ht="12.75">
      <c r="G367" s="42"/>
    </row>
    <row r="368" ht="12.75">
      <c r="G368" s="42"/>
    </row>
    <row r="369" ht="12.75">
      <c r="G369" s="42"/>
    </row>
    <row r="370" ht="12.75">
      <c r="G370" s="42"/>
    </row>
    <row r="371" ht="12.75">
      <c r="G371" s="42"/>
    </row>
    <row r="372" ht="12.75">
      <c r="G372" s="42"/>
    </row>
    <row r="373" ht="12.75">
      <c r="G373" s="42"/>
    </row>
    <row r="374" ht="12.75">
      <c r="G374" s="42"/>
    </row>
  </sheetData>
  <sheetProtection/>
  <mergeCells count="5">
    <mergeCell ref="A2:F2"/>
    <mergeCell ref="A6:A7"/>
    <mergeCell ref="B6:B7"/>
    <mergeCell ref="C6:C7"/>
    <mergeCell ref="D6:D7"/>
  </mergeCells>
  <printOptions horizontalCentered="1"/>
  <pageMargins left="0.7874015748031497" right="0.7874015748031497" top="0.5905511811023623" bottom="0.5905511811023623" header="0.5118110236220472" footer="0.5118110236220472"/>
  <pageSetup firstPageNumber="31" useFirstPageNumber="1" horizontalDpi="600" verticalDpi="600" orientation="landscape" paperSize="8" r:id="rId1"/>
  <headerFooter alignWithMargins="0">
    <oddHeader>&amp;RPage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I27"/>
  <sheetViews>
    <sheetView tabSelected="1" zoomScalePageLayoutView="0" workbookViewId="0" topLeftCell="A6">
      <selection activeCell="F29" sqref="F29"/>
    </sheetView>
  </sheetViews>
  <sheetFormatPr defaultColWidth="11.421875" defaultRowHeight="12.75"/>
  <cols>
    <col min="2" max="2" width="57.7109375" style="0" customWidth="1"/>
    <col min="3" max="3" width="7.140625" style="0" bestFit="1" customWidth="1"/>
    <col min="4" max="4" width="21.8515625" style="0" bestFit="1" customWidth="1"/>
    <col min="6" max="6" width="20.140625" style="0" bestFit="1" customWidth="1"/>
    <col min="7" max="8" width="18.57421875" style="0" bestFit="1" customWidth="1"/>
  </cols>
  <sheetData>
    <row r="2" spans="1:5" s="176" customFormat="1" ht="12.75">
      <c r="A2" s="263" t="s">
        <v>198</v>
      </c>
      <c r="B2" s="263"/>
      <c r="C2" s="263"/>
      <c r="D2" s="263"/>
      <c r="E2" s="175"/>
    </row>
    <row r="3" spans="1:5" s="176" customFormat="1" ht="12.75">
      <c r="A3" s="166"/>
      <c r="B3" s="166"/>
      <c r="C3" s="166"/>
      <c r="D3" s="166"/>
      <c r="E3" s="175"/>
    </row>
    <row r="4" spans="1:5" s="176" customFormat="1" ht="12.75">
      <c r="A4" s="166"/>
      <c r="B4" s="166"/>
      <c r="C4" s="166"/>
      <c r="D4" s="166"/>
      <c r="E4" s="175"/>
    </row>
    <row r="5" spans="1:5" s="176" customFormat="1" ht="12.75">
      <c r="A5" s="166"/>
      <c r="B5" s="166"/>
      <c r="C5" s="166"/>
      <c r="D5" s="166"/>
      <c r="E5" s="175"/>
    </row>
    <row r="6" spans="1:5" s="176" customFormat="1" ht="12.75">
      <c r="A6" s="252"/>
      <c r="B6" s="252"/>
      <c r="C6" s="252"/>
      <c r="D6" s="252"/>
      <c r="E6" s="175"/>
    </row>
    <row r="7" spans="1:5" s="176" customFormat="1" ht="12.75">
      <c r="A7" s="252"/>
      <c r="B7" s="252"/>
      <c r="C7" s="252"/>
      <c r="D7" s="252"/>
      <c r="E7" s="175"/>
    </row>
    <row r="8" spans="1:4" s="176" customFormat="1" ht="12.75">
      <c r="A8" s="265" t="s">
        <v>197</v>
      </c>
      <c r="B8" s="265"/>
      <c r="C8" s="265"/>
      <c r="D8" s="265"/>
    </row>
    <row r="9" spans="1:4" s="176" customFormat="1" ht="12.75">
      <c r="A9" s="177"/>
      <c r="B9" s="63"/>
      <c r="C9" s="45"/>
      <c r="D9" s="49"/>
    </row>
    <row r="10" spans="1:4" s="176" customFormat="1" ht="12.75">
      <c r="A10" s="177"/>
      <c r="B10" s="63"/>
      <c r="C10" s="45"/>
      <c r="D10" s="49"/>
    </row>
    <row r="11" spans="1:7" s="3" customFormat="1" ht="12.75">
      <c r="A11" s="60"/>
      <c r="B11" s="46"/>
      <c r="C11" s="46"/>
      <c r="D11" s="64"/>
      <c r="E11" s="48"/>
      <c r="F11" s="49"/>
      <c r="G11" s="7"/>
    </row>
    <row r="12" spans="1:9" s="176" customFormat="1" ht="30">
      <c r="A12" s="178" t="s">
        <v>10</v>
      </c>
      <c r="B12" s="179" t="s">
        <v>139</v>
      </c>
      <c r="C12" s="180" t="s">
        <v>199</v>
      </c>
      <c r="D12" s="73" t="s">
        <v>201</v>
      </c>
      <c r="F12" s="187" t="s">
        <v>200</v>
      </c>
      <c r="G12" s="188" t="s">
        <v>202</v>
      </c>
      <c r="H12" s="188" t="s">
        <v>203</v>
      </c>
      <c r="I12" s="188" t="s">
        <v>204</v>
      </c>
    </row>
    <row r="13" spans="1:7" s="3" customFormat="1" ht="15">
      <c r="A13" s="182"/>
      <c r="B13" s="181"/>
      <c r="C13" s="74"/>
      <c r="D13" s="25"/>
      <c r="E13" s="69"/>
      <c r="F13" s="7"/>
      <c r="G13" s="7"/>
    </row>
    <row r="14" spans="1:9" s="3" customFormat="1" ht="12.75">
      <c r="A14" s="189">
        <v>1</v>
      </c>
      <c r="B14" s="78" t="s">
        <v>140</v>
      </c>
      <c r="C14" s="75" t="s">
        <v>141</v>
      </c>
      <c r="D14" s="25">
        <f>84796254616+205745384+400963541912.4+492504069410.84+7798987463.4+1396558589.16</f>
        <v>987665157375.8</v>
      </c>
      <c r="E14" s="70"/>
      <c r="F14" s="84">
        <f>84796254616+205745384+400963541912.4</f>
        <v>485965541912.4</v>
      </c>
      <c r="G14" s="186">
        <f>7798987463.4+1396558589.16+492504069410.84</f>
        <v>501699615463.4</v>
      </c>
      <c r="H14" s="186">
        <f>+F14+G14</f>
        <v>987665157375.8</v>
      </c>
      <c r="I14" s="186">
        <f>+D14-H14</f>
        <v>0</v>
      </c>
    </row>
    <row r="15" spans="1:9" s="3" customFormat="1" ht="12.75">
      <c r="A15" s="183"/>
      <c r="B15" s="78"/>
      <c r="C15" s="76"/>
      <c r="D15" s="25"/>
      <c r="E15" s="69"/>
      <c r="F15" s="84"/>
      <c r="G15" s="186"/>
      <c r="H15" s="186"/>
      <c r="I15" s="186"/>
    </row>
    <row r="16" spans="1:9" s="3" customFormat="1" ht="12.75">
      <c r="A16" s="184">
        <v>2</v>
      </c>
      <c r="B16" s="78" t="s">
        <v>8</v>
      </c>
      <c r="C16" s="77" t="s">
        <v>3</v>
      </c>
      <c r="D16" s="25">
        <f>96664844+3605469905.76+31559745</f>
        <v>3733694494.76</v>
      </c>
      <c r="E16" s="70"/>
      <c r="F16" s="84">
        <f>96664844+3605469905.76</f>
        <v>3702134749.76</v>
      </c>
      <c r="G16" s="186">
        <v>31559745</v>
      </c>
      <c r="H16" s="186">
        <f aca="true" t="shared" si="0" ref="H16:H24">+F16+G16</f>
        <v>3733694494.76</v>
      </c>
      <c r="I16" s="186">
        <f aca="true" t="shared" si="1" ref="I16:I24">+D16-H16</f>
        <v>0</v>
      </c>
    </row>
    <row r="17" spans="1:9" s="3" customFormat="1" ht="12.75">
      <c r="A17" s="184"/>
      <c r="B17" s="78"/>
      <c r="C17" s="77"/>
      <c r="D17" s="25"/>
      <c r="F17" s="84"/>
      <c r="G17" s="186"/>
      <c r="H17" s="186"/>
      <c r="I17" s="186"/>
    </row>
    <row r="18" spans="1:9" s="3" customFormat="1" ht="12.75">
      <c r="A18" s="184">
        <v>3</v>
      </c>
      <c r="B18" s="78" t="s">
        <v>142</v>
      </c>
      <c r="C18" s="77" t="s">
        <v>3</v>
      </c>
      <c r="D18" s="25">
        <v>18323142940.96</v>
      </c>
      <c r="F18" s="84">
        <v>18323142940.96</v>
      </c>
      <c r="G18" s="186"/>
      <c r="H18" s="186">
        <f t="shared" si="0"/>
        <v>18323142940.96</v>
      </c>
      <c r="I18" s="186">
        <f t="shared" si="1"/>
        <v>0</v>
      </c>
    </row>
    <row r="19" spans="1:9" s="3" customFormat="1" ht="12.75">
      <c r="A19" s="184"/>
      <c r="B19" s="78"/>
      <c r="C19" s="77"/>
      <c r="D19" s="25"/>
      <c r="F19" s="84"/>
      <c r="G19" s="186"/>
      <c r="H19" s="186"/>
      <c r="I19" s="186"/>
    </row>
    <row r="20" spans="1:9" s="3" customFormat="1" ht="12.75">
      <c r="A20" s="184">
        <v>4</v>
      </c>
      <c r="B20" s="165" t="s">
        <v>143</v>
      </c>
      <c r="C20" s="77" t="s">
        <v>3</v>
      </c>
      <c r="D20" s="25">
        <v>4087008000</v>
      </c>
      <c r="F20" s="84">
        <v>4087008000</v>
      </c>
      <c r="G20" s="186"/>
      <c r="H20" s="186">
        <f t="shared" si="0"/>
        <v>4087008000</v>
      </c>
      <c r="I20" s="186">
        <f t="shared" si="1"/>
        <v>0</v>
      </c>
    </row>
    <row r="21" spans="1:9" s="3" customFormat="1" ht="12.75">
      <c r="A21" s="184"/>
      <c r="B21" s="165"/>
      <c r="C21" s="77"/>
      <c r="D21" s="25"/>
      <c r="F21" s="84"/>
      <c r="G21" s="186"/>
      <c r="H21" s="186"/>
      <c r="I21" s="186"/>
    </row>
    <row r="22" spans="1:9" s="3" customFormat="1" ht="12.75">
      <c r="A22" s="184">
        <v>5</v>
      </c>
      <c r="B22" s="165" t="s">
        <v>190</v>
      </c>
      <c r="C22" s="77"/>
      <c r="D22" s="25">
        <v>8148339150</v>
      </c>
      <c r="F22" s="7"/>
      <c r="G22" s="186">
        <v>8148339150</v>
      </c>
      <c r="H22" s="186">
        <f t="shared" si="0"/>
        <v>8148339150</v>
      </c>
      <c r="I22" s="186">
        <f t="shared" si="1"/>
        <v>0</v>
      </c>
    </row>
    <row r="23" spans="1:9" s="3" customFormat="1" ht="12.75">
      <c r="A23" s="184"/>
      <c r="B23" s="165"/>
      <c r="C23" s="77"/>
      <c r="D23" s="25"/>
      <c r="E23" s="69"/>
      <c r="F23" s="84"/>
      <c r="G23" s="186"/>
      <c r="H23" s="186"/>
      <c r="I23" s="186"/>
    </row>
    <row r="24" spans="1:9" s="3" customFormat="1" ht="12.75">
      <c r="A24" s="184">
        <v>6</v>
      </c>
      <c r="B24" s="78" t="s">
        <v>2</v>
      </c>
      <c r="C24" s="79" t="s">
        <v>3</v>
      </c>
      <c r="D24" s="25">
        <f>4901686925.43+489910453621.25+18474660.33+37962675.6+6715749589.58+67614197.51</f>
        <v>501651941669.7</v>
      </c>
      <c r="E24" s="69"/>
      <c r="F24" s="84">
        <f>4901686925.43+489910453621.25+18474660.33</f>
        <v>494830615207.01</v>
      </c>
      <c r="G24" s="186">
        <f>6715749589.58+67614197.51+37962675.6</f>
        <v>6821326462.69</v>
      </c>
      <c r="H24" s="186">
        <f t="shared" si="0"/>
        <v>501651941669.7</v>
      </c>
      <c r="I24" s="186">
        <f t="shared" si="1"/>
        <v>0</v>
      </c>
    </row>
    <row r="25" spans="1:9" s="3" customFormat="1" ht="12.75">
      <c r="A25" s="185"/>
      <c r="B25" s="80"/>
      <c r="C25" s="81"/>
      <c r="D25" s="65"/>
      <c r="E25" s="69"/>
      <c r="F25" s="85"/>
      <c r="G25" s="186"/>
      <c r="H25" s="186"/>
      <c r="I25" s="186"/>
    </row>
    <row r="26" spans="1:7" s="3" customFormat="1" ht="12.75">
      <c r="A26" s="1"/>
      <c r="B26" s="66"/>
      <c r="C26" s="67" t="s">
        <v>136</v>
      </c>
      <c r="D26" s="68">
        <f>SUM(D13:D25)</f>
        <v>1523609283631.22</v>
      </c>
      <c r="E26" s="70"/>
      <c r="F26" s="86"/>
      <c r="G26" s="71"/>
    </row>
    <row r="27" spans="1:9" s="3" customFormat="1" ht="12.75">
      <c r="A27" s="1"/>
      <c r="D27" s="47"/>
      <c r="E27" s="5"/>
      <c r="F27" s="8"/>
      <c r="H27" s="70"/>
      <c r="I27" s="71"/>
    </row>
  </sheetData>
  <sheetProtection/>
  <mergeCells count="2">
    <mergeCell ref="A2:D2"/>
    <mergeCell ref="A8:D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  <headerFooter>
    <oddHeader>&amp;RPage 35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DCP/DGT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ACCT</dc:creator>
  <cp:keywords/>
  <dc:description/>
  <cp:lastModifiedBy>JIMMY</cp:lastModifiedBy>
  <cp:lastPrinted>2017-12-07T11:31:17Z</cp:lastPrinted>
  <dcterms:created xsi:type="dcterms:W3CDTF">2016-04-25T06:30:48Z</dcterms:created>
  <dcterms:modified xsi:type="dcterms:W3CDTF">2017-12-13T09:10:20Z</dcterms:modified>
  <cp:category/>
  <cp:version/>
  <cp:contentType/>
  <cp:contentStatus/>
</cp:coreProperties>
</file>